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ross\OneDrive\Documents\projects\dqmusicbox\case\"/>
    </mc:Choice>
  </mc:AlternateContent>
  <bookViews>
    <workbookView xWindow="0" yWindow="0" windowWidth="28800" windowHeight="14232"/>
  </bookViews>
  <sheets>
    <sheet name="intro" sheetId="7" r:id="rId1"/>
    <sheet name="2P1_bamboo4" sheetId="57" r:id="rId2"/>
    <sheet name="maple5" sheetId="27" r:id="rId3"/>
    <sheet name="birch7" sheetId="3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57" l="1"/>
  <c r="G31" i="57"/>
  <c r="F29" i="57"/>
  <c r="G29" i="57" s="1"/>
  <c r="F27" i="57"/>
  <c r="G27" i="57" s="1"/>
  <c r="F26" i="57"/>
  <c r="G26" i="57" s="1"/>
  <c r="G109" i="57"/>
  <c r="F109" i="57"/>
  <c r="F105" i="57"/>
  <c r="F111" i="57" s="1"/>
  <c r="E99" i="57"/>
  <c r="D99" i="57"/>
  <c r="E98" i="57"/>
  <c r="D98" i="57"/>
  <c r="E97" i="57"/>
  <c r="D97" i="57"/>
  <c r="E94" i="57"/>
  <c r="D94" i="57"/>
  <c r="E93" i="57"/>
  <c r="D93" i="57"/>
  <c r="E92" i="57"/>
  <c r="D92" i="57"/>
  <c r="D90" i="57"/>
  <c r="D89" i="57"/>
  <c r="G70" i="57"/>
  <c r="F70" i="57"/>
  <c r="F67" i="57"/>
  <c r="D63" i="57"/>
  <c r="G62" i="57"/>
  <c r="A62" i="57"/>
  <c r="I60" i="57"/>
  <c r="I71" i="57" s="1"/>
  <c r="H60" i="57"/>
  <c r="C60" i="57"/>
  <c r="B60" i="57"/>
  <c r="G51" i="57"/>
  <c r="G54" i="57" s="1"/>
  <c r="A51" i="57"/>
  <c r="F50" i="57"/>
  <c r="F49" i="57"/>
  <c r="H47" i="57"/>
  <c r="H82" i="57" s="1"/>
  <c r="H36" i="57"/>
  <c r="I22" i="57"/>
  <c r="H22" i="57"/>
  <c r="B22" i="57" s="1"/>
  <c r="C22" i="57"/>
  <c r="E10" i="57"/>
  <c r="C8" i="57"/>
  <c r="B77" i="57" s="1"/>
  <c r="C7" i="57"/>
  <c r="C77" i="57" s="1"/>
  <c r="C6" i="57"/>
  <c r="B23" i="57" s="1"/>
  <c r="B27" i="57" s="1"/>
  <c r="D27" i="57" s="1"/>
  <c r="H27" i="57" s="1"/>
  <c r="B26" i="57" l="1"/>
  <c r="D26" i="57" s="1"/>
  <c r="H26" i="57" s="1"/>
  <c r="B30" i="57"/>
  <c r="D30" i="57" s="1"/>
  <c r="H30" i="57" s="1"/>
  <c r="B29" i="57"/>
  <c r="D29" i="57" s="1"/>
  <c r="H29" i="57" s="1"/>
  <c r="B31" i="57"/>
  <c r="D31" i="57" s="1"/>
  <c r="H31" i="57" s="1"/>
  <c r="B28" i="57"/>
  <c r="D28" i="57" s="1"/>
  <c r="H28" i="57" s="1"/>
  <c r="I76" i="57"/>
  <c r="B36" i="57"/>
  <c r="B37" i="57"/>
  <c r="B105" i="57"/>
  <c r="B106" i="57" s="1"/>
  <c r="H106" i="57" s="1"/>
  <c r="H87" i="57"/>
  <c r="H88" i="57" s="1"/>
  <c r="C23" i="57"/>
  <c r="C37" i="57"/>
  <c r="B61" i="57"/>
  <c r="H76" i="57" s="1"/>
  <c r="H70" i="57"/>
  <c r="C61" i="57"/>
  <c r="I82" i="57" s="1"/>
  <c r="G105" i="57"/>
  <c r="D83" i="57"/>
  <c r="H96" i="57" s="1"/>
  <c r="F108" i="57"/>
  <c r="F48" i="57"/>
  <c r="H55" i="57" s="1"/>
  <c r="E83" i="57"/>
  <c r="F113" i="57"/>
  <c r="C27" i="57" l="1"/>
  <c r="E27" i="57" s="1"/>
  <c r="I27" i="57" s="1"/>
  <c r="C31" i="57"/>
  <c r="E31" i="57" s="1"/>
  <c r="I31" i="57" s="1"/>
  <c r="C29" i="57"/>
  <c r="E29" i="57" s="1"/>
  <c r="I29" i="57" s="1"/>
  <c r="E30" i="57"/>
  <c r="I30" i="57" s="1"/>
  <c r="C26" i="57"/>
  <c r="E26" i="57" s="1"/>
  <c r="I26" i="57" s="1"/>
  <c r="C28" i="57"/>
  <c r="E28" i="57" s="1"/>
  <c r="I28" i="57" s="1"/>
  <c r="B111" i="57"/>
  <c r="H111" i="57" s="1"/>
  <c r="I36" i="57"/>
  <c r="C36" i="57" s="1"/>
  <c r="C39" i="57" s="1"/>
  <c r="H71" i="57"/>
  <c r="B108" i="57"/>
  <c r="H108" i="57" s="1"/>
  <c r="H105" i="57"/>
  <c r="I70" i="57"/>
  <c r="B113" i="57"/>
  <c r="H113" i="57" s="1"/>
  <c r="B39" i="57"/>
  <c r="H86" i="57"/>
  <c r="H98" i="57"/>
  <c r="H99" i="57" s="1"/>
  <c r="H97" i="57"/>
  <c r="H100" i="57" s="1"/>
  <c r="I87" i="57"/>
  <c r="I91" i="57"/>
  <c r="I86" i="57"/>
  <c r="I88" i="57"/>
  <c r="G111" i="57"/>
  <c r="C105" i="57"/>
  <c r="G113" i="57"/>
  <c r="G108" i="57"/>
  <c r="B109" i="57"/>
  <c r="H109" i="57" s="1"/>
  <c r="H91" i="57"/>
  <c r="I47" i="57" l="1"/>
  <c r="I55" i="57" s="1"/>
  <c r="B40" i="57"/>
  <c r="H40" i="57"/>
  <c r="H42" i="57" s="1"/>
  <c r="C106" i="57"/>
  <c r="I106" i="57" s="1"/>
  <c r="I105" i="57"/>
  <c r="I108" i="57" s="1"/>
  <c r="C108" i="57"/>
  <c r="H93" i="57"/>
  <c r="H94" i="57" s="1"/>
  <c r="H92" i="57"/>
  <c r="H95" i="57" s="1"/>
  <c r="I92" i="57"/>
  <c r="I93" i="57"/>
  <c r="I98" i="57" s="1"/>
  <c r="I96" i="57"/>
  <c r="I40" i="57"/>
  <c r="I42" i="57" s="1"/>
  <c r="C40" i="57"/>
  <c r="H101" i="57" l="1"/>
  <c r="I95" i="57"/>
  <c r="I97" i="57"/>
  <c r="I100" i="57" s="1"/>
  <c r="I94" i="57"/>
  <c r="I99" i="57" s="1"/>
  <c r="I101" i="57"/>
  <c r="C109" i="57"/>
  <c r="I109" i="57" s="1"/>
  <c r="C111" i="57"/>
  <c r="C113" i="57" l="1"/>
  <c r="I113" i="57" s="1"/>
  <c r="I111" i="57"/>
  <c r="H48" i="33" l="1"/>
  <c r="H51" i="33" s="1"/>
  <c r="B57" i="33"/>
  <c r="I61" i="33"/>
  <c r="H61" i="33"/>
  <c r="I56" i="33"/>
  <c r="H56" i="33"/>
  <c r="C47" i="33"/>
  <c r="I46" i="33"/>
  <c r="H46" i="33"/>
  <c r="C39" i="33"/>
  <c r="C40" i="33" s="1"/>
  <c r="G32" i="33"/>
  <c r="F32" i="33"/>
  <c r="G31" i="33"/>
  <c r="F31" i="33"/>
  <c r="G30" i="33"/>
  <c r="F30" i="33"/>
  <c r="G29" i="33"/>
  <c r="F29" i="33"/>
  <c r="I26" i="33"/>
  <c r="I27" i="33" s="1"/>
  <c r="H26" i="33"/>
  <c r="H27" i="33" s="1"/>
  <c r="B27" i="33" s="1"/>
  <c r="B28" i="33" s="1"/>
  <c r="C24" i="33"/>
  <c r="C57" i="33" s="1"/>
  <c r="B24" i="33"/>
  <c r="B37" i="33" s="1"/>
  <c r="G19" i="33"/>
  <c r="C19" i="33"/>
  <c r="E19" i="33" s="1"/>
  <c r="B19" i="33"/>
  <c r="D19" i="33" s="1"/>
  <c r="H19" i="33" s="1"/>
  <c r="C18" i="33"/>
  <c r="E18" i="33" s="1"/>
  <c r="I18" i="33" s="1"/>
  <c r="B18" i="33"/>
  <c r="D18" i="33" s="1"/>
  <c r="H18" i="33" s="1"/>
  <c r="F17" i="33"/>
  <c r="G17" i="33" s="1"/>
  <c r="C17" i="33"/>
  <c r="E17" i="33" s="1"/>
  <c r="B17" i="33"/>
  <c r="D17" i="33" s="1"/>
  <c r="C16" i="33"/>
  <c r="E16" i="33" s="1"/>
  <c r="I16" i="33" s="1"/>
  <c r="F15" i="33"/>
  <c r="G15" i="33" s="1"/>
  <c r="C15" i="33"/>
  <c r="E15" i="33" s="1"/>
  <c r="B15" i="33"/>
  <c r="B16" i="33" s="1"/>
  <c r="D16" i="33" s="1"/>
  <c r="H16" i="33" s="1"/>
  <c r="F14" i="33"/>
  <c r="G14" i="33" s="1"/>
  <c r="D14" i="33"/>
  <c r="H14" i="33" s="1"/>
  <c r="C14" i="33"/>
  <c r="E14" i="33" s="1"/>
  <c r="B14" i="33"/>
  <c r="H17" i="33" l="1"/>
  <c r="F26" i="33"/>
  <c r="I14" i="33"/>
  <c r="I15" i="33"/>
  <c r="I48" i="33"/>
  <c r="I49" i="33" s="1"/>
  <c r="I50" i="33" s="1"/>
  <c r="I51" i="33" s="1"/>
  <c r="I52" i="33" s="1"/>
  <c r="I19" i="33"/>
  <c r="D15" i="33"/>
  <c r="H15" i="33" s="1"/>
  <c r="B47" i="33"/>
  <c r="B39" i="33"/>
  <c r="I29" i="33"/>
  <c r="C27" i="33"/>
  <c r="I17" i="33"/>
  <c r="B29" i="33"/>
  <c r="H28" i="33"/>
  <c r="H50" i="33"/>
  <c r="H52" i="33"/>
  <c r="I40" i="33"/>
  <c r="I42" i="33" s="1"/>
  <c r="H49" i="33"/>
  <c r="C32" i="33" l="1"/>
  <c r="I32" i="33" s="1"/>
  <c r="C31" i="33"/>
  <c r="I31" i="33" s="1"/>
  <c r="C29" i="33"/>
  <c r="C30" i="33" s="1"/>
  <c r="I30" i="33" s="1"/>
  <c r="C28" i="33"/>
  <c r="I28" i="33" s="1"/>
  <c r="B31" i="33"/>
  <c r="H29" i="33"/>
  <c r="B30" i="33"/>
  <c r="H30" i="33" s="1"/>
  <c r="B40" i="33"/>
  <c r="H40" i="33"/>
  <c r="H42" i="33" s="1"/>
  <c r="H31" i="33" l="1"/>
  <c r="B32" i="33"/>
  <c r="H32" i="33" s="1"/>
  <c r="H48" i="27" l="1"/>
  <c r="H52" i="27" s="1"/>
  <c r="C47" i="27"/>
  <c r="B47" i="27"/>
  <c r="H46" i="27"/>
  <c r="C56" i="27"/>
  <c r="I56" i="27" s="1"/>
  <c r="B40" i="27"/>
  <c r="C39" i="27"/>
  <c r="I40" i="27" s="1"/>
  <c r="I42" i="27" s="1"/>
  <c r="B39" i="27"/>
  <c r="H40" i="27" s="1"/>
  <c r="H42" i="27" s="1"/>
  <c r="G32" i="27"/>
  <c r="F32" i="27"/>
  <c r="G31" i="27"/>
  <c r="F31" i="27"/>
  <c r="G30" i="27"/>
  <c r="F30" i="27"/>
  <c r="G29" i="27"/>
  <c r="F29" i="27"/>
  <c r="F26" i="27"/>
  <c r="G19" i="27"/>
  <c r="C19" i="27"/>
  <c r="B19" i="27"/>
  <c r="C18" i="27"/>
  <c r="B18" i="27"/>
  <c r="F17" i="27"/>
  <c r="G17" i="27" s="1"/>
  <c r="C17" i="27"/>
  <c r="B17" i="27"/>
  <c r="C16" i="27"/>
  <c r="F15" i="27"/>
  <c r="G15" i="27" s="1"/>
  <c r="C15" i="27"/>
  <c r="E15" i="27" s="1"/>
  <c r="I15" i="27" s="1"/>
  <c r="B15" i="27"/>
  <c r="B16" i="27" s="1"/>
  <c r="G14" i="27"/>
  <c r="F14" i="27"/>
  <c r="C14" i="27"/>
  <c r="B14" i="27"/>
  <c r="B12" i="27"/>
  <c r="C40" i="27" l="1"/>
  <c r="I46" i="27"/>
  <c r="I48" i="27" s="1"/>
  <c r="I49" i="27" s="1"/>
  <c r="I50" i="27" s="1"/>
  <c r="I51" i="27" s="1"/>
  <c r="I52" i="27" s="1"/>
  <c r="D16" i="27"/>
  <c r="H16" i="27" s="1"/>
  <c r="D17" i="27"/>
  <c r="H17" i="27" s="1"/>
  <c r="D18" i="27"/>
  <c r="H18" i="27" s="1"/>
  <c r="D19" i="27"/>
  <c r="H19" i="27" s="1"/>
  <c r="E17" i="27"/>
  <c r="I17" i="27" s="1"/>
  <c r="E18" i="27"/>
  <c r="I18" i="27" s="1"/>
  <c r="H26" i="27"/>
  <c r="H27" i="27" s="1"/>
  <c r="B27" i="27" s="1"/>
  <c r="B28" i="27" s="1"/>
  <c r="H28" i="27" s="1"/>
  <c r="H56" i="27"/>
  <c r="B60" i="27"/>
  <c r="H60" i="27" s="1"/>
  <c r="E19" i="27"/>
  <c r="I19" i="27" s="1"/>
  <c r="C23" i="27"/>
  <c r="H49" i="27"/>
  <c r="H51" i="27"/>
  <c r="E14" i="27"/>
  <c r="I14" i="27" s="1"/>
  <c r="E16" i="27"/>
  <c r="I16" i="27" s="1"/>
  <c r="D14" i="27"/>
  <c r="H14" i="27" s="1"/>
  <c r="D15" i="27"/>
  <c r="H15" i="27" s="1"/>
  <c r="H50" i="27"/>
  <c r="B29" i="27" l="1"/>
  <c r="H29" i="27" s="1"/>
  <c r="B30" i="27"/>
  <c r="H30" i="27" s="1"/>
  <c r="B31" i="27"/>
  <c r="C60" i="27"/>
  <c r="I60" i="27" s="1"/>
  <c r="I26" i="27"/>
  <c r="I27" i="27" s="1"/>
  <c r="B32" i="27" l="1"/>
  <c r="H32" i="27" s="1"/>
  <c r="H31" i="27"/>
  <c r="I29" i="27"/>
  <c r="C27" i="27"/>
  <c r="C31" i="27" l="1"/>
  <c r="I31" i="27" s="1"/>
  <c r="C29" i="27"/>
  <c r="C30" i="27" s="1"/>
  <c r="I30" i="27" s="1"/>
  <c r="C28" i="27"/>
  <c r="I28" i="27" s="1"/>
  <c r="C32" i="27"/>
  <c r="I32" i="27" s="1"/>
</calcChain>
</file>

<file path=xl/sharedStrings.xml><?xml version="1.0" encoding="utf-8"?>
<sst xmlns="http://schemas.openxmlformats.org/spreadsheetml/2006/main" count="273" uniqueCount="116">
  <si>
    <t>width</t>
  </si>
  <si>
    <t>height</t>
  </si>
  <si>
    <t>depth</t>
  </si>
  <si>
    <t>x</t>
  </si>
  <si>
    <t>y</t>
  </si>
  <si>
    <t>volume rotary encoder (x=1/3, y=1/2)</t>
  </si>
  <si>
    <t>songs rotary encoder (x=2/3, y=1/2)</t>
  </si>
  <si>
    <t>volume label (x=1/3, y=1/2 + 21mm)</t>
  </si>
  <si>
    <t>songs label (x=2/3, y=1/2 + 21mm)</t>
  </si>
  <si>
    <t>item width</t>
  </si>
  <si>
    <t>item height</t>
  </si>
  <si>
    <t>x at left</t>
  </si>
  <si>
    <t>y at bottom</t>
  </si>
  <si>
    <t>back</t>
  </si>
  <si>
    <t>lower left corner of face</t>
  </si>
  <si>
    <t>lower left of back</t>
  </si>
  <si>
    <t>W,H of face</t>
  </si>
  <si>
    <t>cutout distance from each side</t>
  </si>
  <si>
    <t>cutout</t>
  </si>
  <si>
    <t>bottom</t>
  </si>
  <si>
    <t>lower left of bottom</t>
  </si>
  <si>
    <t>top</t>
  </si>
  <si>
    <t>lower left of top</t>
  </si>
  <si>
    <t>W,H of top decoration</t>
  </si>
  <si>
    <t>lower left of decoration</t>
  </si>
  <si>
    <t>lower left of decoration for visual centering</t>
  </si>
  <si>
    <t>Calculating the posititions for laser cutting and laser engraving on the wood case</t>
  </si>
  <si>
    <t>This file is optional. If you are not changing the case, you don't need this file. If you are changing the case, this file may be handy.</t>
  </si>
  <si>
    <t>Original input to makercase.com</t>
  </si>
  <si>
    <t>Face (front)</t>
  </si>
  <si>
    <t>mm</t>
  </si>
  <si>
    <t>x adjusted</t>
  </si>
  <si>
    <t>y adjusted</t>
  </si>
  <si>
    <t>x correction factor to make shape *appear* centered</t>
  </si>
  <si>
    <t>W,H of top</t>
  </si>
  <si>
    <t>headphone jack (x=1/8, y=1/2)</t>
  </si>
  <si>
    <t>indicator LED (x=7/8, y=1/2)</t>
  </si>
  <si>
    <t>label: DQMusicBox</t>
  </si>
  <si>
    <t>center of musical note decoration</t>
  </si>
  <si>
    <t>knob #1</t>
  </si>
  <si>
    <t>knob #1 cutout</t>
  </si>
  <si>
    <t>knob #3</t>
  </si>
  <si>
    <t>knob #2</t>
  </si>
  <si>
    <t>knob #2 cutout</t>
  </si>
  <si>
    <t>knob #4</t>
  </si>
  <si>
    <t>W,H of bottom</t>
  </si>
  <si>
    <t>label: REBOOT-press_songs_15sec</t>
  </si>
  <si>
    <t>label: PAUSE-tap_volume</t>
  </si>
  <si>
    <t>label: MOVE-press_vol_15sec,wait_30sec,unplug</t>
  </si>
  <si>
    <t>label: TROUBLESHOOT-/var/log/dqmusicbox</t>
  </si>
  <si>
    <t>lower left of right side</t>
  </si>
  <si>
    <t>left side</t>
  </si>
  <si>
    <t>right side</t>
  </si>
  <si>
    <t>lower left of left side</t>
  </si>
  <si>
    <t>W,H of back</t>
  </si>
  <si>
    <t>thickness</t>
  </si>
  <si>
    <t>W,H of left side</t>
  </si>
  <si>
    <t>indicator LED (x=1/2, y=knob_height)</t>
  </si>
  <si>
    <t>maple5</t>
  </si>
  <si>
    <t>birch6</t>
  </si>
  <si>
    <t>Back</t>
  </si>
  <si>
    <t>Top</t>
  </si>
  <si>
    <t>Bottom</t>
  </si>
  <si>
    <t>label: dqmusixbox.org</t>
  </si>
  <si>
    <t>Left side</t>
  </si>
  <si>
    <t>y at left</t>
  </si>
  <si>
    <t>Right side</t>
  </si>
  <si>
    <t>W,H of side</t>
  </si>
  <si>
    <t>x at center</t>
  </si>
  <si>
    <t>y at center</t>
  </si>
  <si>
    <t>Knobs</t>
  </si>
  <si>
    <t>label: back</t>
  </si>
  <si>
    <t>label: inside</t>
  </si>
  <si>
    <t>Assumed maximum thickness of USB power plug</t>
  </si>
  <si>
    <t>cutout distance from left when facing the back (SD card)</t>
  </si>
  <si>
    <t>cutout distance from right when facing the back (USB stick)</t>
  </si>
  <si>
    <t>Parameters</t>
  </si>
  <si>
    <t>Case dimenstion</t>
  </si>
  <si>
    <t>Input to makercase.com</t>
  </si>
  <si>
    <t>In drawing below</t>
  </si>
  <si>
    <t>x,y or lower canvas for the full case</t>
  </si>
  <si>
    <t>Distance from bottom of Pi to mid-point of micro-USB power plug</t>
  </si>
  <si>
    <t>Distance from underside of box to bottom of cutout</t>
  </si>
  <si>
    <t>D-shaft encoder cutout</t>
  </si>
  <si>
    <t>diameter of knobs</t>
  </si>
  <si>
    <t>Cutout</t>
  </si>
  <si>
    <t>Gap between top of knob and bottom of label text</t>
  </si>
  <si>
    <t>volume label (x=1/3, y=1/2 + knob_radius + gap)</t>
  </si>
  <si>
    <t>songs label (x=2/3, y=1/2 + knob_radius + gap)</t>
  </si>
  <si>
    <t>Drop to account for lower case g descender in text</t>
  </si>
  <si>
    <t>Distance between mounting holes</t>
  </si>
  <si>
    <t>Distance from inside back of box to center of first mount hole</t>
  </si>
  <si>
    <t>Pi A+ mounting hole #1</t>
  </si>
  <si>
    <t>Pi A+ mounting hole #2</t>
  </si>
  <si>
    <t>Pi A+ mounting hole #3</t>
  </si>
  <si>
    <t>Pi A+ mounting hole #4</t>
  </si>
  <si>
    <t>Pi 3 mounting hole #1</t>
  </si>
  <si>
    <t>Pi 3 mounting hole #2</t>
  </si>
  <si>
    <t>Pi 3 mounting hole #3</t>
  </si>
  <si>
    <t>Pi 3 mounting hole #4</t>
  </si>
  <si>
    <t>Distance from from bottom of Pi3 to top of Pi3 USB port + a bit of buffer</t>
  </si>
  <si>
    <t>Distance from board edge to edge of USB port + a bit of buffer</t>
  </si>
  <si>
    <t>Width of USB port + a bit of buffer</t>
  </si>
  <si>
    <t>Distance from outside back of case to board edge</t>
  </si>
  <si>
    <t>standoff height</t>
  </si>
  <si>
    <t>label: inside-of-left-side</t>
  </si>
  <si>
    <t>label: right</t>
  </si>
  <si>
    <t>label: Pi-A+</t>
  </si>
  <si>
    <t>label: Pi-3</t>
  </si>
  <si>
    <t>length from Pi3 USB edge to center of mounting hole with 1mm buffer</t>
  </si>
  <si>
    <t>Pi board height</t>
  </si>
  <si>
    <t>Distance from outside back to center of the backmost mounting holes</t>
  </si>
  <si>
    <t>Distance from the backmost mounting holes to far edge of A+ USB</t>
  </si>
  <si>
    <t>length from A+ board edge to center of mounting hole with 1mm buffer</t>
  </si>
  <si>
    <t>Distance from center of back mounting holes to near edge of Pi3 Ethernet</t>
  </si>
  <si>
    <t>Two P1 pieces bamboo4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</si>
</sst>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24"/>
      <color theme="9"/>
      <name val="Calibri"/>
      <family val="2"/>
      <scheme val="minor"/>
    </font>
    <font>
      <b/>
      <sz val="18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165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165" fontId="0" fillId="0" borderId="1" xfId="0" applyNumberFormat="1" applyBorder="1"/>
    <xf numFmtId="0" fontId="5" fillId="2" borderId="1" xfId="0" applyFont="1" applyFill="1" applyBorder="1"/>
    <xf numFmtId="0" fontId="0" fillId="2" borderId="1" xfId="0" applyFill="1" applyBorder="1" applyAlignment="1">
      <alignment horizontal="right"/>
    </xf>
    <xf numFmtId="166" fontId="0" fillId="0" borderId="1" xfId="0" applyNumberFormat="1" applyBorder="1"/>
    <xf numFmtId="16" fontId="0" fillId="0" borderId="1" xfId="0" applyNumberForma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0" fillId="0" borderId="0" xfId="0" applyBorder="1"/>
    <xf numFmtId="165" fontId="0" fillId="0" borderId="0" xfId="0" applyNumberFormat="1" applyBorder="1"/>
    <xf numFmtId="16" fontId="0" fillId="0" borderId="0" xfId="0" applyNumberFormat="1" applyBorder="1"/>
    <xf numFmtId="165" fontId="0" fillId="0" borderId="1" xfId="0" applyNumberFormat="1" applyFill="1" applyBorder="1"/>
    <xf numFmtId="165" fontId="0" fillId="0" borderId="1" xfId="0" applyNumberFormat="1" applyFont="1" applyBorder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0" fontId="1" fillId="2" borderId="1" xfId="0" applyFont="1" applyFill="1" applyBorder="1" applyAlignment="1">
      <alignment horizontal="right" wrapText="1"/>
    </xf>
    <xf numFmtId="165" fontId="1" fillId="0" borderId="1" xfId="0" applyNumberFormat="1" applyFont="1" applyBorder="1" applyAlignment="1">
      <alignment horizontal="right"/>
    </xf>
    <xf numFmtId="16" fontId="0" fillId="0" borderId="1" xfId="0" applyNumberFormat="1" applyFont="1" applyBorder="1"/>
    <xf numFmtId="0" fontId="0" fillId="0" borderId="1" xfId="0" applyFont="1" applyBorder="1"/>
    <xf numFmtId="165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113</xdr:row>
      <xdr:rowOff>0</xdr:rowOff>
    </xdr:from>
    <xdr:to>
      <xdr:col>7</xdr:col>
      <xdr:colOff>200025</xdr:colOff>
      <xdr:row>113</xdr:row>
      <xdr:rowOff>142875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4A2E35C-E979-401A-B52E-99A080260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788140" y="23622000"/>
          <a:ext cx="200025" cy="142875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113</xdr:row>
      <xdr:rowOff>0</xdr:rowOff>
    </xdr:from>
    <xdr:ext cx="200025" cy="142875"/>
    <xdr:pic>
      <xdr:nvPicPr>
        <xdr:cNvPr id="3" name="Graphic 2">
          <a:extLst>
            <a:ext uri="{FF2B5EF4-FFF2-40B4-BE49-F238E27FC236}">
              <a16:creationId xmlns:a16="http://schemas.microsoft.com/office/drawing/2014/main" id="{AA127025-B2EA-4658-BFC6-0B21EA98D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788140" y="23622000"/>
          <a:ext cx="200025" cy="142875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0</xdr:rowOff>
    </xdr:from>
    <xdr:ext cx="200025" cy="142875"/>
    <xdr:pic>
      <xdr:nvPicPr>
        <xdr:cNvPr id="4" name="Graphic 3">
          <a:extLst>
            <a:ext uri="{FF2B5EF4-FFF2-40B4-BE49-F238E27FC236}">
              <a16:creationId xmlns:a16="http://schemas.microsoft.com/office/drawing/2014/main" id="{984328F2-107F-433A-AFC9-F45A55F73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788140" y="23622000"/>
          <a:ext cx="200025" cy="142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2" sqref="A2"/>
    </sheetView>
  </sheetViews>
  <sheetFormatPr defaultRowHeight="14.4" x14ac:dyDescent="0.3"/>
  <cols>
    <col min="1" max="1" width="76.44140625" customWidth="1"/>
    <col min="2" max="2" width="16.44140625" customWidth="1"/>
    <col min="3" max="3" width="15.6640625" customWidth="1"/>
    <col min="4" max="4" width="13.5546875" customWidth="1"/>
    <col min="5" max="5" width="13.109375" customWidth="1"/>
    <col min="6" max="7" width="11.88671875" customWidth="1"/>
    <col min="8" max="8" width="16.44140625" customWidth="1"/>
    <col min="9" max="9" width="12.33203125" customWidth="1"/>
    <col min="10" max="10" width="81.44140625" customWidth="1"/>
  </cols>
  <sheetData>
    <row r="1" spans="1:5" ht="21" x14ac:dyDescent="0.4">
      <c r="A1" s="7" t="s">
        <v>26</v>
      </c>
    </row>
    <row r="2" spans="1:5" x14ac:dyDescent="0.3">
      <c r="A2" s="9" t="s">
        <v>27</v>
      </c>
      <c r="D2" s="2"/>
      <c r="E2" s="2"/>
    </row>
    <row r="3" spans="1:5" x14ac:dyDescent="0.3">
      <c r="A3" s="1"/>
      <c r="D3" s="2"/>
      <c r="E3" s="2"/>
    </row>
    <row r="4" spans="1:5" x14ac:dyDescent="0.3">
      <c r="A4" s="1"/>
      <c r="D4" s="2"/>
      <c r="E4" s="2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opLeftCell="A100" zoomScale="80" zoomScaleNormal="80" workbookViewId="0">
      <selection activeCell="K46" sqref="K46:L48"/>
    </sheetView>
  </sheetViews>
  <sheetFormatPr defaultRowHeight="14.4" x14ac:dyDescent="0.3"/>
  <cols>
    <col min="1" max="1" width="76.44140625" customWidth="1"/>
    <col min="2" max="2" width="16.44140625" customWidth="1"/>
    <col min="3" max="3" width="15.6640625" customWidth="1"/>
    <col min="4" max="4" width="16.109375" customWidth="1"/>
    <col min="5" max="5" width="18.109375" customWidth="1"/>
    <col min="6" max="6" width="14.6640625" customWidth="1"/>
    <col min="7" max="7" width="14.44140625" customWidth="1"/>
    <col min="8" max="8" width="16.44140625" customWidth="1"/>
    <col min="9" max="9" width="12.33203125" customWidth="1"/>
    <col min="10" max="10" width="16.5546875" customWidth="1"/>
  </cols>
  <sheetData>
    <row r="1" spans="1:6" ht="31.2" x14ac:dyDescent="0.6">
      <c r="A1" s="14" t="s">
        <v>115</v>
      </c>
    </row>
    <row r="2" spans="1:6" x14ac:dyDescent="0.3">
      <c r="A2" s="1"/>
      <c r="D2" s="2"/>
      <c r="E2" s="2"/>
    </row>
    <row r="3" spans="1:6" x14ac:dyDescent="0.3">
      <c r="A3" s="1"/>
      <c r="D3" s="2"/>
      <c r="E3" s="2"/>
    </row>
    <row r="4" spans="1:6" ht="23.4" x14ac:dyDescent="0.45">
      <c r="A4" s="15" t="s">
        <v>77</v>
      </c>
      <c r="B4" s="6"/>
      <c r="C4" s="2"/>
      <c r="E4" s="2"/>
    </row>
    <row r="5" spans="1:6" ht="30.6" x14ac:dyDescent="0.45">
      <c r="A5" s="18"/>
      <c r="B5" s="31" t="s">
        <v>78</v>
      </c>
      <c r="C5" s="12" t="s">
        <v>79</v>
      </c>
      <c r="E5" s="2"/>
    </row>
    <row r="6" spans="1:6" x14ac:dyDescent="0.3">
      <c r="A6" s="10" t="s">
        <v>0</v>
      </c>
      <c r="B6" s="17">
        <v>143</v>
      </c>
      <c r="C6" s="17">
        <f>B6+0.01</f>
        <v>143.01</v>
      </c>
      <c r="E6" s="13">
        <v>9.07</v>
      </c>
      <c r="F6" s="13"/>
    </row>
    <row r="7" spans="1:6" x14ac:dyDescent="0.3">
      <c r="A7" s="10" t="s">
        <v>1</v>
      </c>
      <c r="B7" s="17">
        <v>66</v>
      </c>
      <c r="C7" s="17">
        <f>B7+0.01</f>
        <v>66.010000000000005</v>
      </c>
      <c r="E7" s="2">
        <v>1.8</v>
      </c>
      <c r="F7" s="13"/>
    </row>
    <row r="8" spans="1:6" x14ac:dyDescent="0.3">
      <c r="A8" s="10" t="s">
        <v>2</v>
      </c>
      <c r="B8" s="17">
        <v>88</v>
      </c>
      <c r="C8" s="17">
        <f>B8+0.01</f>
        <v>88.01</v>
      </c>
      <c r="E8">
        <v>13.66</v>
      </c>
    </row>
    <row r="9" spans="1:6" x14ac:dyDescent="0.3">
      <c r="A9" s="10" t="s">
        <v>55</v>
      </c>
      <c r="B9" s="17">
        <v>6.7</v>
      </c>
      <c r="C9" s="20"/>
      <c r="D9" s="1"/>
      <c r="E9" s="2">
        <v>4.1100000000000003</v>
      </c>
    </row>
    <row r="10" spans="1:6" x14ac:dyDescent="0.3">
      <c r="E10" s="13">
        <f>SUM(E6:E9)</f>
        <v>28.64</v>
      </c>
      <c r="F10" s="13"/>
    </row>
    <row r="12" spans="1:6" ht="23.4" x14ac:dyDescent="0.45">
      <c r="A12" s="15" t="s">
        <v>76</v>
      </c>
    </row>
    <row r="13" spans="1:6" x14ac:dyDescent="0.3">
      <c r="A13" s="30" t="s">
        <v>80</v>
      </c>
      <c r="B13" s="17">
        <v>5.2439999999999998</v>
      </c>
      <c r="C13" s="17">
        <v>5.2439999999999998</v>
      </c>
    </row>
    <row r="14" spans="1:6" x14ac:dyDescent="0.3">
      <c r="A14" s="30" t="s">
        <v>84</v>
      </c>
      <c r="B14" s="17">
        <v>30</v>
      </c>
      <c r="C14" s="17"/>
    </row>
    <row r="15" spans="1:6" x14ac:dyDescent="0.3">
      <c r="A15" s="30" t="s">
        <v>104</v>
      </c>
      <c r="B15" s="10"/>
      <c r="C15" s="17">
        <v>7</v>
      </c>
    </row>
    <row r="16" spans="1:6" x14ac:dyDescent="0.3">
      <c r="A16" s="30" t="s">
        <v>110</v>
      </c>
      <c r="B16" s="17">
        <v>56</v>
      </c>
      <c r="C16" s="17"/>
    </row>
    <row r="17" spans="1:10" x14ac:dyDescent="0.3">
      <c r="A17" s="29"/>
      <c r="B17" s="24"/>
      <c r="C17" s="25"/>
    </row>
    <row r="18" spans="1:10" x14ac:dyDescent="0.3">
      <c r="E18" s="13"/>
    </row>
    <row r="19" spans="1:10" x14ac:dyDescent="0.3">
      <c r="E19" s="13"/>
    </row>
    <row r="20" spans="1:10" ht="23.4" x14ac:dyDescent="0.45">
      <c r="A20" s="16" t="s">
        <v>29</v>
      </c>
    </row>
    <row r="21" spans="1:10" x14ac:dyDescent="0.3">
      <c r="A21" s="11"/>
      <c r="B21" s="12" t="s">
        <v>3</v>
      </c>
      <c r="C21" s="12" t="s">
        <v>4</v>
      </c>
      <c r="D21" s="12" t="s">
        <v>31</v>
      </c>
      <c r="E21" s="12" t="s">
        <v>32</v>
      </c>
      <c r="F21" s="12" t="s">
        <v>9</v>
      </c>
      <c r="G21" s="12" t="s">
        <v>10</v>
      </c>
      <c r="H21" s="12" t="s">
        <v>11</v>
      </c>
      <c r="I21" s="12" t="s">
        <v>12</v>
      </c>
    </row>
    <row r="22" spans="1:10" x14ac:dyDescent="0.3">
      <c r="A22" s="10" t="s">
        <v>14</v>
      </c>
      <c r="B22" s="17">
        <f>H22</f>
        <v>5.2439999999999998</v>
      </c>
      <c r="C22" s="17">
        <f>C13</f>
        <v>5.2439999999999998</v>
      </c>
      <c r="D22" s="32"/>
      <c r="E22" s="32"/>
      <c r="F22" s="32"/>
      <c r="G22" s="32"/>
      <c r="H22" s="28">
        <f>B13</f>
        <v>5.2439999999999998</v>
      </c>
      <c r="I22" s="28">
        <f>C13</f>
        <v>5.2439999999999998</v>
      </c>
    </row>
    <row r="23" spans="1:10" x14ac:dyDescent="0.3">
      <c r="A23" s="10" t="s">
        <v>16</v>
      </c>
      <c r="B23" s="17">
        <f>C6</f>
        <v>143.01</v>
      </c>
      <c r="C23" s="17">
        <f>C7</f>
        <v>66.010000000000005</v>
      </c>
      <c r="D23" s="17"/>
      <c r="E23" s="17"/>
      <c r="F23" s="17"/>
      <c r="G23" s="17"/>
      <c r="H23" s="17"/>
      <c r="I23" s="17"/>
    </row>
    <row r="24" spans="1:10" x14ac:dyDescent="0.3">
      <c r="A24" s="10" t="s">
        <v>86</v>
      </c>
      <c r="B24" s="17"/>
      <c r="C24" s="17">
        <v>2.5</v>
      </c>
      <c r="D24" s="17"/>
      <c r="E24" s="17"/>
      <c r="F24" s="17"/>
      <c r="G24" s="17"/>
      <c r="H24" s="17"/>
      <c r="I24" s="17"/>
    </row>
    <row r="25" spans="1:10" x14ac:dyDescent="0.3">
      <c r="A25" s="10" t="s">
        <v>89</v>
      </c>
      <c r="B25" s="17"/>
      <c r="C25" s="17">
        <v>1.6</v>
      </c>
      <c r="D25" s="17"/>
      <c r="E25" s="17"/>
      <c r="F25" s="17"/>
      <c r="G25" s="17"/>
      <c r="H25" s="17"/>
      <c r="I25" s="17"/>
    </row>
    <row r="26" spans="1:10" x14ac:dyDescent="0.3">
      <c r="A26" s="10" t="s">
        <v>35</v>
      </c>
      <c r="B26" s="17">
        <f>B23/8</f>
        <v>17.876249999999999</v>
      </c>
      <c r="C26" s="17">
        <f>C23/2</f>
        <v>33.005000000000003</v>
      </c>
      <c r="D26" s="17">
        <f>B26+B22</f>
        <v>23.120249999999999</v>
      </c>
      <c r="E26" s="17">
        <f>C26+C22</f>
        <v>38.249000000000002</v>
      </c>
      <c r="F26" s="17">
        <f>(3/8)*25.4</f>
        <v>9.5249999999999986</v>
      </c>
      <c r="G26" s="17">
        <f>F26</f>
        <v>9.5249999999999986</v>
      </c>
      <c r="H26" s="17">
        <f>D26-(F26/2)</f>
        <v>18.357749999999999</v>
      </c>
      <c r="I26" s="17">
        <f>E26-(G26/2)</f>
        <v>33.486500000000007</v>
      </c>
    </row>
    <row r="27" spans="1:10" x14ac:dyDescent="0.3">
      <c r="A27" s="10" t="s">
        <v>5</v>
      </c>
      <c r="B27" s="17">
        <f>B23/3</f>
        <v>47.669999999999995</v>
      </c>
      <c r="C27" s="17">
        <f>C23/2</f>
        <v>33.005000000000003</v>
      </c>
      <c r="D27" s="17">
        <f>B27+B22</f>
        <v>52.913999999999994</v>
      </c>
      <c r="E27" s="17">
        <f>C27+C22</f>
        <v>38.249000000000002</v>
      </c>
      <c r="F27" s="17">
        <f>(1/4)*25.4</f>
        <v>6.35</v>
      </c>
      <c r="G27" s="17">
        <f>F27</f>
        <v>6.35</v>
      </c>
      <c r="H27" s="17">
        <f t="shared" ref="H27:I31" si="0">D27-(F27/2)</f>
        <v>49.738999999999997</v>
      </c>
      <c r="I27" s="17">
        <f t="shared" si="0"/>
        <v>35.074000000000005</v>
      </c>
    </row>
    <row r="28" spans="1:10" x14ac:dyDescent="0.3">
      <c r="A28" s="10" t="s">
        <v>87</v>
      </c>
      <c r="B28" s="17">
        <f>B27</f>
        <v>47.669999999999995</v>
      </c>
      <c r="C28" s="17">
        <f>C23/2+$B$14/2+G28/2+C24</f>
        <v>54.005000000000003</v>
      </c>
      <c r="D28" s="17">
        <f>B28+B22</f>
        <v>52.913999999999994</v>
      </c>
      <c r="E28" s="17">
        <f>C28+C22</f>
        <v>59.249000000000002</v>
      </c>
      <c r="F28" s="17">
        <v>32.354999999999997</v>
      </c>
      <c r="G28" s="17">
        <v>7</v>
      </c>
      <c r="H28" s="17">
        <f t="shared" si="0"/>
        <v>36.736499999999992</v>
      </c>
      <c r="I28" s="17">
        <f>E28-(G28/2)</f>
        <v>55.749000000000002</v>
      </c>
    </row>
    <row r="29" spans="1:10" x14ac:dyDescent="0.3">
      <c r="A29" s="10" t="s">
        <v>6</v>
      </c>
      <c r="B29" s="17">
        <f>B23/3*2</f>
        <v>95.339999999999989</v>
      </c>
      <c r="C29" s="17">
        <f>C23/2</f>
        <v>33.005000000000003</v>
      </c>
      <c r="D29" s="17">
        <f>B29+B22</f>
        <v>100.58399999999999</v>
      </c>
      <c r="E29" s="17">
        <f>C29+C22</f>
        <v>38.249000000000002</v>
      </c>
      <c r="F29" s="17">
        <f>(1/4)*25.4</f>
        <v>6.35</v>
      </c>
      <c r="G29" s="17">
        <f>F29</f>
        <v>6.35</v>
      </c>
      <c r="H29" s="17">
        <f t="shared" si="0"/>
        <v>97.408999999999992</v>
      </c>
      <c r="I29" s="17">
        <f t="shared" si="0"/>
        <v>35.074000000000005</v>
      </c>
      <c r="J29" s="13"/>
    </row>
    <row r="30" spans="1:10" x14ac:dyDescent="0.3">
      <c r="A30" s="10" t="s">
        <v>88</v>
      </c>
      <c r="B30" s="17">
        <f>B23/3*2</f>
        <v>95.339999999999989</v>
      </c>
      <c r="C30" s="17">
        <f>C23/2+B14/2+G30/2+C24</f>
        <v>54.005000000000003</v>
      </c>
      <c r="D30" s="17">
        <f>B30+C22</f>
        <v>100.58399999999999</v>
      </c>
      <c r="E30" s="17">
        <f>C30+C22</f>
        <v>59.249000000000002</v>
      </c>
      <c r="F30" s="17">
        <v>25.65</v>
      </c>
      <c r="G30" s="17">
        <v>7</v>
      </c>
      <c r="H30" s="17">
        <f t="shared" si="0"/>
        <v>87.758999999999986</v>
      </c>
      <c r="I30" s="17">
        <f>E30-(G30/2)-C25</f>
        <v>54.149000000000001</v>
      </c>
    </row>
    <row r="31" spans="1:10" x14ac:dyDescent="0.3">
      <c r="A31" s="10" t="s">
        <v>57</v>
      </c>
      <c r="B31" s="17">
        <f>B23/8*7</f>
        <v>125.13374999999999</v>
      </c>
      <c r="C31" s="17">
        <f>C23/2</f>
        <v>33.005000000000003</v>
      </c>
      <c r="D31" s="17">
        <f>B31+B22</f>
        <v>130.37774999999999</v>
      </c>
      <c r="E31" s="17">
        <f>C31+C22</f>
        <v>38.249000000000002</v>
      </c>
      <c r="F31" s="17">
        <v>4.8499999999999996</v>
      </c>
      <c r="G31" s="17">
        <f>F31</f>
        <v>4.8499999999999996</v>
      </c>
      <c r="H31" s="17">
        <f t="shared" si="0"/>
        <v>127.95274999999999</v>
      </c>
      <c r="I31" s="17">
        <f>E31-(G31/2)</f>
        <v>35.824000000000005</v>
      </c>
    </row>
    <row r="32" spans="1:10" x14ac:dyDescent="0.3">
      <c r="E32" s="13"/>
    </row>
    <row r="33" spans="1:9" x14ac:dyDescent="0.3">
      <c r="E33" s="13"/>
    </row>
    <row r="34" spans="1:9" ht="23.4" x14ac:dyDescent="0.45">
      <c r="A34" s="15" t="s">
        <v>61</v>
      </c>
    </row>
    <row r="35" spans="1:9" ht="18" x14ac:dyDescent="0.35">
      <c r="A35" s="22"/>
      <c r="B35" s="12" t="s">
        <v>3</v>
      </c>
      <c r="C35" s="12" t="s">
        <v>4</v>
      </c>
      <c r="D35" s="11"/>
      <c r="E35" s="11"/>
      <c r="F35" s="11"/>
      <c r="G35" s="11"/>
      <c r="H35" s="12" t="s">
        <v>11</v>
      </c>
      <c r="I35" s="12" t="s">
        <v>12</v>
      </c>
    </row>
    <row r="36" spans="1:9" x14ac:dyDescent="0.3">
      <c r="A36" s="10" t="s">
        <v>22</v>
      </c>
      <c r="B36" s="17">
        <f>B22</f>
        <v>5.2439999999999998</v>
      </c>
      <c r="C36" s="17">
        <f>I36</f>
        <v>64.554000000000002</v>
      </c>
      <c r="D36" s="10"/>
      <c r="E36" s="10"/>
      <c r="F36" s="10"/>
      <c r="G36" s="10"/>
      <c r="H36" s="17">
        <f>B13</f>
        <v>5.2439999999999998</v>
      </c>
      <c r="I36" s="17">
        <f>I22+C23-B9</f>
        <v>64.554000000000002</v>
      </c>
    </row>
    <row r="37" spans="1:9" x14ac:dyDescent="0.3">
      <c r="A37" s="10" t="s">
        <v>34</v>
      </c>
      <c r="B37" s="17">
        <f>C6</f>
        <v>143.01</v>
      </c>
      <c r="C37" s="17">
        <f>C8</f>
        <v>88.01</v>
      </c>
      <c r="D37" s="10"/>
      <c r="E37" s="10"/>
      <c r="F37" s="10"/>
      <c r="G37" s="10"/>
      <c r="H37" s="10"/>
      <c r="I37" s="10"/>
    </row>
    <row r="38" spans="1:9" x14ac:dyDescent="0.3">
      <c r="A38" s="10" t="s">
        <v>23</v>
      </c>
      <c r="B38" s="17">
        <v>37.796999999999997</v>
      </c>
      <c r="C38" s="17">
        <v>50</v>
      </c>
      <c r="D38" s="10"/>
      <c r="E38" s="10"/>
      <c r="F38" s="10"/>
      <c r="G38" s="10"/>
      <c r="H38" s="10"/>
      <c r="I38" s="10"/>
    </row>
    <row r="39" spans="1:9" x14ac:dyDescent="0.3">
      <c r="A39" s="10" t="s">
        <v>38</v>
      </c>
      <c r="B39" s="17">
        <f>B36+(B37/2)</f>
        <v>76.748999999999995</v>
      </c>
      <c r="C39" s="17">
        <f>C36+(C37/2)</f>
        <v>108.559</v>
      </c>
      <c r="D39" s="10"/>
      <c r="E39" s="10"/>
      <c r="F39" s="10"/>
      <c r="G39" s="10"/>
      <c r="H39" s="10"/>
      <c r="I39" s="10"/>
    </row>
    <row r="40" spans="1:9" x14ac:dyDescent="0.3">
      <c r="A40" s="10" t="s">
        <v>24</v>
      </c>
      <c r="B40" s="17">
        <f>B39-(B38/2)</f>
        <v>57.850499999999997</v>
      </c>
      <c r="C40" s="17">
        <f>C39-(C38/2)</f>
        <v>83.558999999999997</v>
      </c>
      <c r="D40" s="10"/>
      <c r="E40" s="10"/>
      <c r="F40" s="10"/>
      <c r="G40" s="10"/>
      <c r="H40" s="10">
        <f>B39-(B38/2)</f>
        <v>57.850499999999997</v>
      </c>
      <c r="I40" s="10">
        <f>C39-(C38/2)</f>
        <v>83.558999999999997</v>
      </c>
    </row>
    <row r="41" spans="1:9" x14ac:dyDescent="0.3">
      <c r="A41" s="10" t="s">
        <v>33</v>
      </c>
      <c r="B41" s="17">
        <v>5</v>
      </c>
      <c r="C41" s="17"/>
      <c r="D41" s="10"/>
      <c r="E41" s="10"/>
      <c r="F41" s="10"/>
      <c r="G41" s="10"/>
      <c r="H41" s="10"/>
      <c r="I41" s="10"/>
    </row>
    <row r="42" spans="1:9" x14ac:dyDescent="0.3">
      <c r="A42" s="10" t="s">
        <v>25</v>
      </c>
      <c r="B42" s="17"/>
      <c r="C42" s="17"/>
      <c r="D42" s="10"/>
      <c r="E42" s="10"/>
      <c r="F42" s="10"/>
      <c r="G42" s="10"/>
      <c r="H42" s="10">
        <f>H40-B41</f>
        <v>52.850499999999997</v>
      </c>
      <c r="I42" s="10">
        <f>I40</f>
        <v>83.558999999999997</v>
      </c>
    </row>
    <row r="43" spans="1:9" x14ac:dyDescent="0.3">
      <c r="E43" s="13"/>
    </row>
    <row r="44" spans="1:9" x14ac:dyDescent="0.3">
      <c r="E44" s="13"/>
    </row>
    <row r="45" spans="1:9" ht="23.4" x14ac:dyDescent="0.45">
      <c r="A45" s="15" t="s">
        <v>60</v>
      </c>
      <c r="C45" s="4"/>
      <c r="D45" s="3"/>
      <c r="E45" s="3"/>
    </row>
    <row r="46" spans="1:9" ht="23.4" x14ac:dyDescent="0.45">
      <c r="A46" s="18"/>
      <c r="B46" s="12" t="s">
        <v>68</v>
      </c>
      <c r="C46" s="12" t="s">
        <v>69</v>
      </c>
      <c r="D46" s="12" t="s">
        <v>3</v>
      </c>
      <c r="E46" s="12" t="s">
        <v>4</v>
      </c>
      <c r="F46" s="12" t="s">
        <v>0</v>
      </c>
      <c r="G46" s="12" t="s">
        <v>1</v>
      </c>
      <c r="H46" s="12" t="s">
        <v>11</v>
      </c>
      <c r="I46" s="12" t="s">
        <v>12</v>
      </c>
    </row>
    <row r="47" spans="1:9" x14ac:dyDescent="0.3">
      <c r="A47" s="10" t="s">
        <v>15</v>
      </c>
      <c r="B47" s="10"/>
      <c r="C47" s="10"/>
      <c r="D47" s="10"/>
      <c r="E47" s="10"/>
      <c r="F47" s="10"/>
      <c r="G47" s="10"/>
      <c r="H47" s="17">
        <f>B13</f>
        <v>5.2439999999999998</v>
      </c>
      <c r="I47" s="17">
        <f>I36+C37-B9</f>
        <v>145.86400000000003</v>
      </c>
    </row>
    <row r="48" spans="1:9" x14ac:dyDescent="0.3">
      <c r="A48" s="10" t="s">
        <v>54</v>
      </c>
      <c r="B48" s="10"/>
      <c r="C48" s="10"/>
      <c r="D48" s="10"/>
      <c r="E48" s="10"/>
      <c r="F48" s="17">
        <f>C6</f>
        <v>143.01</v>
      </c>
      <c r="G48" s="17">
        <v>40.140999999999998</v>
      </c>
      <c r="H48" s="10"/>
      <c r="I48" s="10"/>
    </row>
    <row r="49" spans="1:9" x14ac:dyDescent="0.3">
      <c r="A49" s="10" t="s">
        <v>74</v>
      </c>
      <c r="B49" s="10"/>
      <c r="C49" s="10"/>
      <c r="D49" s="10"/>
      <c r="E49" s="20"/>
      <c r="F49" s="17">
        <f>$B$9+3+2.75</f>
        <v>12.45</v>
      </c>
      <c r="G49" s="10"/>
      <c r="H49" s="10"/>
      <c r="I49" s="10"/>
    </row>
    <row r="50" spans="1:9" x14ac:dyDescent="0.3">
      <c r="A50" s="10" t="s">
        <v>75</v>
      </c>
      <c r="B50" s="10"/>
      <c r="C50" s="10"/>
      <c r="D50" s="10"/>
      <c r="E50" s="20"/>
      <c r="F50" s="17">
        <f>$B$9+5</f>
        <v>11.7</v>
      </c>
      <c r="G50" s="10"/>
      <c r="H50" s="10"/>
      <c r="I50" s="10"/>
    </row>
    <row r="51" spans="1:9" x14ac:dyDescent="0.3">
      <c r="A51" s="10" t="str">
        <f>$A$15</f>
        <v>standoff height</v>
      </c>
      <c r="B51" s="10"/>
      <c r="C51" s="10"/>
      <c r="D51" s="10"/>
      <c r="E51" s="10"/>
      <c r="F51" s="20"/>
      <c r="G51" s="17">
        <f>$C$15</f>
        <v>7</v>
      </c>
      <c r="H51" s="10"/>
      <c r="I51" s="10"/>
    </row>
    <row r="52" spans="1:9" x14ac:dyDescent="0.3">
      <c r="A52" s="10" t="s">
        <v>81</v>
      </c>
      <c r="B52" s="10"/>
      <c r="C52" s="10"/>
      <c r="D52" s="10"/>
      <c r="E52" s="10"/>
      <c r="F52" s="20"/>
      <c r="G52" s="17">
        <v>2.5</v>
      </c>
      <c r="H52" s="10"/>
      <c r="I52" s="10"/>
    </row>
    <row r="53" spans="1:9" x14ac:dyDescent="0.3">
      <c r="A53" s="30" t="s">
        <v>73</v>
      </c>
      <c r="B53" s="10"/>
      <c r="C53" s="10"/>
      <c r="D53" s="10"/>
      <c r="E53" s="20"/>
      <c r="F53" s="20"/>
      <c r="G53" s="17">
        <v>13</v>
      </c>
      <c r="H53" s="10"/>
      <c r="I53" s="10"/>
    </row>
    <row r="54" spans="1:9" x14ac:dyDescent="0.3">
      <c r="A54" s="10" t="s">
        <v>82</v>
      </c>
      <c r="B54" s="10"/>
      <c r="C54" s="10"/>
      <c r="D54" s="20"/>
      <c r="E54" s="10"/>
      <c r="F54" s="20"/>
      <c r="G54" s="17">
        <f>$B$9+G51+G52-($G$53/2)</f>
        <v>9.6999999999999993</v>
      </c>
      <c r="H54" s="10"/>
      <c r="I54" s="10"/>
    </row>
    <row r="55" spans="1:9" x14ac:dyDescent="0.3">
      <c r="A55" s="21" t="s">
        <v>63</v>
      </c>
      <c r="B55" s="10"/>
      <c r="C55" s="10"/>
      <c r="D55" s="10"/>
      <c r="E55" s="10"/>
      <c r="F55" s="10">
        <v>39.237000000000002</v>
      </c>
      <c r="G55" s="10">
        <v>4.8120000000000003</v>
      </c>
      <c r="H55" s="17">
        <f>H47+(F48/2)-(F55/2)</f>
        <v>57.130499999999998</v>
      </c>
      <c r="I55" s="17">
        <f>I47+G48-15</f>
        <v>171.00500000000002</v>
      </c>
    </row>
    <row r="56" spans="1:9" x14ac:dyDescent="0.3">
      <c r="E56" s="13"/>
    </row>
    <row r="57" spans="1:9" x14ac:dyDescent="0.3">
      <c r="E57" s="13"/>
    </row>
    <row r="58" spans="1:9" ht="23.4" x14ac:dyDescent="0.45">
      <c r="A58" s="15" t="s">
        <v>64</v>
      </c>
    </row>
    <row r="59" spans="1:9" ht="18" x14ac:dyDescent="0.35">
      <c r="A59" s="23"/>
      <c r="B59" s="12" t="s">
        <v>3</v>
      </c>
      <c r="C59" s="12" t="s">
        <v>4</v>
      </c>
      <c r="D59" s="12"/>
      <c r="E59" s="19"/>
      <c r="F59" s="12" t="s">
        <v>0</v>
      </c>
      <c r="G59" s="12" t="s">
        <v>1</v>
      </c>
      <c r="H59" s="12" t="s">
        <v>11</v>
      </c>
      <c r="I59" s="12" t="s">
        <v>65</v>
      </c>
    </row>
    <row r="60" spans="1:9" x14ac:dyDescent="0.3">
      <c r="A60" s="21" t="s">
        <v>50</v>
      </c>
      <c r="B60" s="17">
        <f>B13</f>
        <v>5.2439999999999998</v>
      </c>
      <c r="C60" s="17">
        <f>C13</f>
        <v>5.2439999999999998</v>
      </c>
      <c r="D60" s="10"/>
      <c r="E60" s="10"/>
      <c r="F60" s="10"/>
      <c r="G60" s="10"/>
      <c r="H60" s="17">
        <f>B13</f>
        <v>5.2439999999999998</v>
      </c>
      <c r="I60" s="17">
        <f>C13</f>
        <v>5.2439999999999998</v>
      </c>
    </row>
    <row r="61" spans="1:9" x14ac:dyDescent="0.3">
      <c r="A61" s="21" t="s">
        <v>67</v>
      </c>
      <c r="B61" s="17">
        <f>C8</f>
        <v>88.01</v>
      </c>
      <c r="C61" s="17">
        <f>C7</f>
        <v>66.010000000000005</v>
      </c>
      <c r="D61" s="10"/>
      <c r="E61" s="10"/>
      <c r="F61" s="10"/>
      <c r="G61" s="10"/>
      <c r="H61" s="10"/>
      <c r="I61" s="10"/>
    </row>
    <row r="62" spans="1:9" x14ac:dyDescent="0.3">
      <c r="A62" s="10" t="str">
        <f>$A$15</f>
        <v>standoff height</v>
      </c>
      <c r="B62" s="10"/>
      <c r="C62" s="10"/>
      <c r="D62" s="10"/>
      <c r="E62" s="10"/>
      <c r="F62" s="20"/>
      <c r="G62" s="17">
        <f>$C$15</f>
        <v>7</v>
      </c>
      <c r="H62" s="17"/>
      <c r="I62" s="17"/>
    </row>
    <row r="63" spans="1:9" x14ac:dyDescent="0.3">
      <c r="A63" s="10" t="s">
        <v>111</v>
      </c>
      <c r="B63" s="10"/>
      <c r="C63" s="10"/>
      <c r="D63" s="17">
        <f>$B$9+E85</f>
        <v>11.7</v>
      </c>
      <c r="E63" s="10"/>
      <c r="F63" s="20"/>
      <c r="G63" s="17"/>
      <c r="H63" s="17"/>
      <c r="I63" s="17"/>
    </row>
    <row r="64" spans="1:9" x14ac:dyDescent="0.3">
      <c r="A64" s="10" t="s">
        <v>114</v>
      </c>
      <c r="B64" s="10"/>
      <c r="C64" s="10"/>
      <c r="D64" s="17">
        <v>15</v>
      </c>
      <c r="E64" s="10"/>
      <c r="F64" s="20"/>
      <c r="G64" s="17"/>
      <c r="H64" s="17"/>
      <c r="I64" s="17"/>
    </row>
    <row r="65" spans="1:9" x14ac:dyDescent="0.3">
      <c r="A65" s="10" t="s">
        <v>112</v>
      </c>
      <c r="B65" s="10"/>
      <c r="C65" s="10"/>
      <c r="D65" s="17">
        <v>41</v>
      </c>
      <c r="E65" s="10"/>
      <c r="F65" s="20"/>
      <c r="G65" s="17"/>
      <c r="H65" s="17"/>
      <c r="I65" s="17"/>
    </row>
    <row r="66" spans="1:9" x14ac:dyDescent="0.3">
      <c r="A66" s="21" t="s">
        <v>100</v>
      </c>
      <c r="B66" s="17"/>
      <c r="C66" s="17"/>
      <c r="D66" s="10"/>
      <c r="E66" s="10"/>
      <c r="F66" s="10"/>
      <c r="G66" s="17">
        <v>20</v>
      </c>
      <c r="H66" s="17"/>
      <c r="I66" s="17"/>
    </row>
    <row r="67" spans="1:9" x14ac:dyDescent="0.3">
      <c r="A67" s="21" t="s">
        <v>103</v>
      </c>
      <c r="B67" s="17"/>
      <c r="C67" s="17"/>
      <c r="D67" s="10"/>
      <c r="E67" s="10"/>
      <c r="F67" s="17">
        <f>$B$9-E85</f>
        <v>1.7000000000000002</v>
      </c>
      <c r="G67" s="17"/>
      <c r="H67" s="17"/>
      <c r="I67" s="17"/>
    </row>
    <row r="68" spans="1:9" x14ac:dyDescent="0.3">
      <c r="A68" s="21" t="s">
        <v>101</v>
      </c>
      <c r="B68" s="17"/>
      <c r="C68" s="17"/>
      <c r="D68" s="10"/>
      <c r="E68" s="10"/>
      <c r="F68" s="17">
        <v>23</v>
      </c>
      <c r="G68" s="17"/>
      <c r="H68" s="17"/>
      <c r="I68" s="17"/>
    </row>
    <row r="69" spans="1:9" x14ac:dyDescent="0.3">
      <c r="A69" s="21" t="s">
        <v>102</v>
      </c>
      <c r="B69" s="17"/>
      <c r="C69" s="17"/>
      <c r="D69" s="10"/>
      <c r="E69" s="10"/>
      <c r="F69" s="17">
        <v>16</v>
      </c>
      <c r="G69" s="17"/>
      <c r="H69" s="17"/>
      <c r="I69" s="17"/>
    </row>
    <row r="70" spans="1:9" x14ac:dyDescent="0.3">
      <c r="A70" s="21" t="s">
        <v>85</v>
      </c>
      <c r="B70" s="17"/>
      <c r="C70" s="17"/>
      <c r="D70" s="10"/>
      <c r="E70" s="10"/>
      <c r="F70" s="17">
        <f>D65-D64</f>
        <v>26</v>
      </c>
      <c r="G70" s="17">
        <f>G66</f>
        <v>20</v>
      </c>
      <c r="H70" s="17">
        <f>D63+H60+D64</f>
        <v>31.943999999999999</v>
      </c>
      <c r="I70" s="17">
        <f>I60+C61-$B$9-G62-G66</f>
        <v>37.554000000000002</v>
      </c>
    </row>
    <row r="71" spans="1:9" x14ac:dyDescent="0.3">
      <c r="A71" s="21" t="s">
        <v>105</v>
      </c>
      <c r="B71" s="17"/>
      <c r="C71" s="17"/>
      <c r="D71" s="10"/>
      <c r="E71" s="10"/>
      <c r="F71" s="30">
        <v>41.295999999999999</v>
      </c>
      <c r="G71" s="17">
        <v>3</v>
      </c>
      <c r="H71" s="17">
        <f>$H$60+($B$61/2)-(F71/2)</f>
        <v>28.601000000000003</v>
      </c>
      <c r="I71" s="17">
        <f>$I$60+$B$9+5</f>
        <v>16.943999999999999</v>
      </c>
    </row>
    <row r="73" spans="1:9" x14ac:dyDescent="0.3">
      <c r="E73" s="13"/>
    </row>
    <row r="74" spans="1:9" ht="23.4" x14ac:dyDescent="0.45">
      <c r="A74" s="15" t="s">
        <v>66</v>
      </c>
    </row>
    <row r="75" spans="1:9" ht="18" x14ac:dyDescent="0.35">
      <c r="A75" s="23"/>
      <c r="B75" s="12" t="s">
        <v>3</v>
      </c>
      <c r="C75" s="12" t="s">
        <v>4</v>
      </c>
      <c r="D75" s="12" t="s">
        <v>10</v>
      </c>
      <c r="E75" s="19"/>
      <c r="F75" s="12"/>
      <c r="G75" s="12"/>
      <c r="H75" s="12" t="s">
        <v>11</v>
      </c>
      <c r="I75" s="12" t="s">
        <v>65</v>
      </c>
    </row>
    <row r="76" spans="1:9" x14ac:dyDescent="0.3">
      <c r="A76" s="21" t="s">
        <v>53</v>
      </c>
      <c r="B76" s="17"/>
      <c r="C76" s="17"/>
      <c r="D76" s="10"/>
      <c r="E76" s="10"/>
      <c r="F76" s="10"/>
      <c r="G76" s="10"/>
      <c r="H76" s="17">
        <f>H60+B61</f>
        <v>93.254000000000005</v>
      </c>
      <c r="I76" s="17">
        <f>I60</f>
        <v>5.2439999999999998</v>
      </c>
    </row>
    <row r="77" spans="1:9" x14ac:dyDescent="0.3">
      <c r="A77" s="21" t="s">
        <v>67</v>
      </c>
      <c r="B77" s="17">
        <f>C8</f>
        <v>88.01</v>
      </c>
      <c r="C77" s="17">
        <f>C7</f>
        <v>66.010000000000005</v>
      </c>
      <c r="D77" s="10"/>
      <c r="E77" s="10"/>
      <c r="F77" s="10"/>
      <c r="G77" s="10"/>
      <c r="H77" s="10"/>
      <c r="I77" s="10"/>
    </row>
    <row r="78" spans="1:9" x14ac:dyDescent="0.3">
      <c r="E78" s="13"/>
    </row>
    <row r="79" spans="1:9" x14ac:dyDescent="0.3">
      <c r="E79" s="13"/>
    </row>
    <row r="80" spans="1:9" ht="23.4" x14ac:dyDescent="0.45">
      <c r="A80" s="15" t="s">
        <v>62</v>
      </c>
    </row>
    <row r="81" spans="1:9" ht="18" x14ac:dyDescent="0.35">
      <c r="A81" s="22"/>
      <c r="B81" s="12" t="s">
        <v>3</v>
      </c>
      <c r="C81" s="12" t="s">
        <v>4</v>
      </c>
      <c r="D81" s="12" t="s">
        <v>9</v>
      </c>
      <c r="E81" s="12" t="s">
        <v>10</v>
      </c>
      <c r="F81" s="12"/>
      <c r="G81" s="12"/>
      <c r="H81" s="12" t="s">
        <v>11</v>
      </c>
      <c r="I81" s="12" t="s">
        <v>12</v>
      </c>
    </row>
    <row r="82" spans="1:9" x14ac:dyDescent="0.3">
      <c r="A82" s="21" t="s">
        <v>20</v>
      </c>
      <c r="B82" s="10"/>
      <c r="C82" s="10"/>
      <c r="D82" s="10"/>
      <c r="E82" s="10"/>
      <c r="F82" s="10"/>
      <c r="G82" s="10"/>
      <c r="H82" s="17">
        <f>H47</f>
        <v>5.2439999999999998</v>
      </c>
      <c r="I82" s="17">
        <f>I60+C61</f>
        <v>71.254000000000005</v>
      </c>
    </row>
    <row r="83" spans="1:9" x14ac:dyDescent="0.3">
      <c r="A83" s="21" t="s">
        <v>45</v>
      </c>
      <c r="B83" s="10"/>
      <c r="C83" s="10"/>
      <c r="D83" s="17">
        <f>C6</f>
        <v>143.01</v>
      </c>
      <c r="E83" s="17">
        <f>C8</f>
        <v>88.01</v>
      </c>
      <c r="F83" s="10"/>
      <c r="G83" s="10"/>
      <c r="H83" s="10"/>
      <c r="I83" s="10"/>
    </row>
    <row r="84" spans="1:9" x14ac:dyDescent="0.3">
      <c r="A84" s="21" t="s">
        <v>90</v>
      </c>
      <c r="B84" s="10"/>
      <c r="C84" s="10"/>
      <c r="D84" s="17">
        <v>58</v>
      </c>
      <c r="E84" s="17">
        <v>49</v>
      </c>
      <c r="F84" s="10"/>
      <c r="G84" s="10"/>
      <c r="H84" s="10"/>
      <c r="I84" s="10"/>
    </row>
    <row r="85" spans="1:9" x14ac:dyDescent="0.3">
      <c r="A85" s="21" t="s">
        <v>91</v>
      </c>
      <c r="B85" s="10"/>
      <c r="C85" s="10"/>
      <c r="E85" s="17">
        <v>5</v>
      </c>
      <c r="F85" s="10"/>
      <c r="G85" s="10"/>
      <c r="H85" s="10"/>
      <c r="I85" s="10"/>
    </row>
    <row r="86" spans="1:9" x14ac:dyDescent="0.3">
      <c r="A86" s="33" t="s">
        <v>72</v>
      </c>
      <c r="B86" s="34"/>
      <c r="C86" s="34"/>
      <c r="D86" s="35">
        <v>18.827000000000002</v>
      </c>
      <c r="E86" s="35">
        <v>5</v>
      </c>
      <c r="F86" s="34"/>
      <c r="G86" s="34"/>
      <c r="H86" s="35">
        <f>H82+(D83/2)-(D86/2)</f>
        <v>67.335499999999996</v>
      </c>
      <c r="I86" s="35">
        <f>I82+(E83/2)-(E86/2)</f>
        <v>112.75900000000001</v>
      </c>
    </row>
    <row r="87" spans="1:9" x14ac:dyDescent="0.3">
      <c r="A87" s="33" t="s">
        <v>71</v>
      </c>
      <c r="B87" s="34"/>
      <c r="C87" s="34"/>
      <c r="D87" s="35">
        <v>15.945</v>
      </c>
      <c r="E87" s="35">
        <v>5</v>
      </c>
      <c r="F87" s="34"/>
      <c r="G87" s="34"/>
      <c r="H87" s="35">
        <f>H82+10</f>
        <v>15.244</v>
      </c>
      <c r="I87" s="35">
        <f>I82+$B$9</f>
        <v>77.954000000000008</v>
      </c>
    </row>
    <row r="88" spans="1:9" x14ac:dyDescent="0.3">
      <c r="A88" s="33" t="s">
        <v>106</v>
      </c>
      <c r="B88" s="34"/>
      <c r="C88" s="34"/>
      <c r="D88" s="35">
        <v>11.183999999999999</v>
      </c>
      <c r="E88" s="35">
        <v>5</v>
      </c>
      <c r="F88" s="34"/>
      <c r="G88" s="34"/>
      <c r="H88" s="34">
        <f>H87</f>
        <v>15.244</v>
      </c>
      <c r="I88" s="34">
        <f>I82+(E83/2)-(E88/2)</f>
        <v>112.75900000000001</v>
      </c>
    </row>
    <row r="89" spans="1:9" x14ac:dyDescent="0.3">
      <c r="A89" s="21" t="s">
        <v>113</v>
      </c>
      <c r="B89" s="10"/>
      <c r="C89" s="10"/>
      <c r="D89" s="17">
        <f>3.5+1</f>
        <v>4.5</v>
      </c>
      <c r="E89" s="17"/>
      <c r="F89" s="10"/>
      <c r="G89" s="10"/>
      <c r="H89" s="10"/>
      <c r="I89" s="10"/>
    </row>
    <row r="90" spans="1:9" x14ac:dyDescent="0.3">
      <c r="A90" s="21" t="s">
        <v>109</v>
      </c>
      <c r="B90" s="10"/>
      <c r="C90" s="10"/>
      <c r="D90" s="17">
        <f>(85-58-3.5)+1.8+1</f>
        <v>26.3</v>
      </c>
      <c r="E90" s="17"/>
      <c r="F90" s="10"/>
      <c r="G90" s="10"/>
      <c r="H90" s="10"/>
      <c r="I90" s="10"/>
    </row>
    <row r="91" spans="1:9" x14ac:dyDescent="0.3">
      <c r="A91" s="21" t="s">
        <v>92</v>
      </c>
      <c r="B91" s="10"/>
      <c r="C91" s="10"/>
      <c r="D91" s="27">
        <v>2</v>
      </c>
      <c r="E91" s="27">
        <v>2</v>
      </c>
      <c r="F91" s="10"/>
      <c r="G91" s="10"/>
      <c r="H91" s="17">
        <f>$H$82+$D$83-$B$9-$D$89-(D91/2)</f>
        <v>136.054</v>
      </c>
      <c r="I91" s="17">
        <f>I82+$B$9+$E$85</f>
        <v>82.954000000000008</v>
      </c>
    </row>
    <row r="92" spans="1:9" x14ac:dyDescent="0.3">
      <c r="A92" s="21" t="s">
        <v>93</v>
      </c>
      <c r="B92" s="10"/>
      <c r="C92" s="10"/>
      <c r="D92" s="17">
        <f>D91</f>
        <v>2</v>
      </c>
      <c r="E92" s="17">
        <f>E91</f>
        <v>2</v>
      </c>
      <c r="F92" s="10"/>
      <c r="G92" s="10"/>
      <c r="H92" s="17">
        <f>H91</f>
        <v>136.054</v>
      </c>
      <c r="I92" s="17">
        <f>I91+E84</f>
        <v>131.95400000000001</v>
      </c>
    </row>
    <row r="93" spans="1:9" x14ac:dyDescent="0.3">
      <c r="A93" s="21" t="s">
        <v>94</v>
      </c>
      <c r="B93" s="10"/>
      <c r="C93" s="10"/>
      <c r="D93" s="17">
        <f>D91</f>
        <v>2</v>
      </c>
      <c r="E93" s="17">
        <f>E91</f>
        <v>2</v>
      </c>
      <c r="F93" s="10"/>
      <c r="G93" s="10"/>
      <c r="H93" s="17">
        <f>H91-D84</f>
        <v>78.054000000000002</v>
      </c>
      <c r="I93" s="17">
        <f>I91</f>
        <v>82.954000000000008</v>
      </c>
    </row>
    <row r="94" spans="1:9" x14ac:dyDescent="0.3">
      <c r="A94" s="21" t="s">
        <v>95</v>
      </c>
      <c r="B94" s="10"/>
      <c r="C94" s="10"/>
      <c r="D94" s="17">
        <f>D91</f>
        <v>2</v>
      </c>
      <c r="E94" s="17">
        <f>E91</f>
        <v>2</v>
      </c>
      <c r="F94" s="10"/>
      <c r="G94" s="10"/>
      <c r="H94" s="17">
        <f>H93</f>
        <v>78.054000000000002</v>
      </c>
      <c r="I94" s="17">
        <f>I92</f>
        <v>131.95400000000001</v>
      </c>
    </row>
    <row r="95" spans="1:9" x14ac:dyDescent="0.3">
      <c r="A95" s="21" t="s">
        <v>107</v>
      </c>
      <c r="B95" s="10"/>
      <c r="C95" s="10"/>
      <c r="D95" s="27">
        <v>12.378</v>
      </c>
      <c r="E95" s="17">
        <v>3</v>
      </c>
      <c r="F95" s="10"/>
      <c r="G95" s="10"/>
      <c r="H95" s="17">
        <f>H92+(D92/2)-(D95/2)</f>
        <v>130.86500000000001</v>
      </c>
      <c r="I95" s="17">
        <f>I92+E92+1</f>
        <v>134.95400000000001</v>
      </c>
    </row>
    <row r="96" spans="1:9" x14ac:dyDescent="0.3">
      <c r="A96" s="21" t="s">
        <v>96</v>
      </c>
      <c r="B96" s="10"/>
      <c r="C96" s="10"/>
      <c r="D96" s="27">
        <v>2</v>
      </c>
      <c r="E96" s="27">
        <v>2</v>
      </c>
      <c r="F96" s="10"/>
      <c r="G96" s="10"/>
      <c r="H96" s="17">
        <f>$H$82+$D$83-$B$9-$D$90-(D96/2)</f>
        <v>114.254</v>
      </c>
      <c r="I96" s="17">
        <f>I91</f>
        <v>82.954000000000008</v>
      </c>
    </row>
    <row r="97" spans="1:9" x14ac:dyDescent="0.3">
      <c r="A97" s="21" t="s">
        <v>97</v>
      </c>
      <c r="B97" s="10"/>
      <c r="C97" s="10"/>
      <c r="D97" s="17">
        <f>D96</f>
        <v>2</v>
      </c>
      <c r="E97" s="17">
        <f>E96</f>
        <v>2</v>
      </c>
      <c r="F97" s="10"/>
      <c r="G97" s="10"/>
      <c r="H97" s="17">
        <f>H96</f>
        <v>114.254</v>
      </c>
      <c r="I97" s="17">
        <f>I92</f>
        <v>131.95400000000001</v>
      </c>
    </row>
    <row r="98" spans="1:9" x14ac:dyDescent="0.3">
      <c r="A98" s="21" t="s">
        <v>98</v>
      </c>
      <c r="B98" s="10"/>
      <c r="C98" s="10"/>
      <c r="D98" s="17">
        <f>D96</f>
        <v>2</v>
      </c>
      <c r="E98" s="17">
        <f>E96</f>
        <v>2</v>
      </c>
      <c r="F98" s="10"/>
      <c r="G98" s="10"/>
      <c r="H98" s="17">
        <f>H96-D84</f>
        <v>56.254000000000005</v>
      </c>
      <c r="I98" s="17">
        <f>I93</f>
        <v>82.954000000000008</v>
      </c>
    </row>
    <row r="99" spans="1:9" x14ac:dyDescent="0.3">
      <c r="A99" s="21" t="s">
        <v>99</v>
      </c>
      <c r="B99" s="10"/>
      <c r="C99" s="10"/>
      <c r="D99" s="17">
        <f>D96</f>
        <v>2</v>
      </c>
      <c r="E99" s="17">
        <f>E96</f>
        <v>2</v>
      </c>
      <c r="F99" s="10"/>
      <c r="G99" s="10"/>
      <c r="H99" s="17">
        <f>H98</f>
        <v>56.254000000000005</v>
      </c>
      <c r="I99" s="17">
        <f>I94</f>
        <v>131.95400000000001</v>
      </c>
    </row>
    <row r="100" spans="1:9" x14ac:dyDescent="0.3">
      <c r="A100" s="21" t="s">
        <v>108</v>
      </c>
      <c r="B100" s="10"/>
      <c r="C100" s="10"/>
      <c r="D100" s="27">
        <v>9.2439999999999998</v>
      </c>
      <c r="E100" s="17">
        <v>3</v>
      </c>
      <c r="F100" s="10"/>
      <c r="G100" s="10"/>
      <c r="H100" s="17">
        <f>H97+(D97/2)-(D100/2)</f>
        <v>110.63200000000001</v>
      </c>
      <c r="I100" s="17">
        <f>I97+E97+1</f>
        <v>134.95400000000001</v>
      </c>
    </row>
    <row r="101" spans="1:9" x14ac:dyDescent="0.3">
      <c r="H101" s="13">
        <f>H91-H93</f>
        <v>58</v>
      </c>
      <c r="I101" s="13">
        <f>I91-I92</f>
        <v>-49</v>
      </c>
    </row>
    <row r="103" spans="1:9" ht="23.4" x14ac:dyDescent="0.45">
      <c r="A103" s="15" t="s">
        <v>70</v>
      </c>
    </row>
    <row r="104" spans="1:9" ht="23.4" x14ac:dyDescent="0.45">
      <c r="A104" s="18"/>
      <c r="B104" s="12" t="s">
        <v>68</v>
      </c>
      <c r="C104" s="12" t="s">
        <v>69</v>
      </c>
      <c r="D104" s="19"/>
      <c r="E104" s="19"/>
      <c r="F104" s="12" t="s">
        <v>0</v>
      </c>
      <c r="G104" s="12" t="s">
        <v>1</v>
      </c>
      <c r="H104" s="12" t="s">
        <v>11</v>
      </c>
      <c r="I104" s="12" t="s">
        <v>12</v>
      </c>
    </row>
    <row r="105" spans="1:9" x14ac:dyDescent="0.3">
      <c r="A105" s="10" t="s">
        <v>39</v>
      </c>
      <c r="B105" s="17">
        <f>H22+B23+F105/2+1</f>
        <v>164.25399999999999</v>
      </c>
      <c r="C105" s="10">
        <f>C13+(G105/2)</f>
        <v>20.244</v>
      </c>
      <c r="D105" s="10"/>
      <c r="E105" s="10"/>
      <c r="F105" s="17">
        <f>B14</f>
        <v>30</v>
      </c>
      <c r="G105" s="17">
        <f>F105</f>
        <v>30</v>
      </c>
      <c r="H105" s="10">
        <f t="shared" ref="H105:I109" si="1">B105-(F105/2)</f>
        <v>149.25399999999999</v>
      </c>
      <c r="I105" s="10">
        <f t="shared" si="1"/>
        <v>5.2439999999999998</v>
      </c>
    </row>
    <row r="106" spans="1:9" x14ac:dyDescent="0.3">
      <c r="A106" s="10" t="s">
        <v>83</v>
      </c>
      <c r="B106" s="10">
        <f>B105</f>
        <v>164.25399999999999</v>
      </c>
      <c r="C106" s="10">
        <f>C105</f>
        <v>20.244</v>
      </c>
      <c r="D106" s="10"/>
      <c r="E106" s="10"/>
      <c r="F106" s="17">
        <v>5.7</v>
      </c>
      <c r="G106" s="17">
        <v>4.1820000000000004</v>
      </c>
      <c r="H106" s="10">
        <f t="shared" si="1"/>
        <v>161.404</v>
      </c>
      <c r="I106" s="10">
        <f>C106-(F106/2)</f>
        <v>17.393999999999998</v>
      </c>
    </row>
    <row r="107" spans="1:9" x14ac:dyDescent="0.3">
      <c r="A107" s="10"/>
      <c r="B107" s="10"/>
      <c r="C107" s="10"/>
      <c r="D107" s="10"/>
      <c r="E107" s="10"/>
      <c r="F107" s="17"/>
      <c r="G107" s="17"/>
      <c r="H107" s="10"/>
      <c r="I107" s="10"/>
    </row>
    <row r="108" spans="1:9" x14ac:dyDescent="0.3">
      <c r="A108" s="10" t="s">
        <v>42</v>
      </c>
      <c r="B108" s="17">
        <f>B105</f>
        <v>164.25399999999999</v>
      </c>
      <c r="C108" s="17">
        <f>C105+G105+1</f>
        <v>51.244</v>
      </c>
      <c r="D108" s="10"/>
      <c r="E108" s="10"/>
      <c r="F108" s="17">
        <f>F105</f>
        <v>30</v>
      </c>
      <c r="G108" s="17">
        <f>G105</f>
        <v>30</v>
      </c>
      <c r="H108" s="10">
        <f t="shared" si="1"/>
        <v>149.25399999999999</v>
      </c>
      <c r="I108" s="17">
        <f>I105+G105+1</f>
        <v>36.244</v>
      </c>
    </row>
    <row r="109" spans="1:9" x14ac:dyDescent="0.3">
      <c r="A109" s="10" t="s">
        <v>83</v>
      </c>
      <c r="B109" s="10">
        <f>B108</f>
        <v>164.25399999999999</v>
      </c>
      <c r="C109" s="17">
        <f>C108</f>
        <v>51.244</v>
      </c>
      <c r="D109" s="10"/>
      <c r="E109" s="10"/>
      <c r="F109" s="17">
        <f>F106</f>
        <v>5.7</v>
      </c>
      <c r="G109" s="17">
        <f>G106</f>
        <v>4.1820000000000004</v>
      </c>
      <c r="H109" s="10">
        <f t="shared" si="1"/>
        <v>161.404</v>
      </c>
      <c r="I109" s="10">
        <f>C109-(F109/2)</f>
        <v>48.393999999999998</v>
      </c>
    </row>
    <row r="110" spans="1:9" x14ac:dyDescent="0.3">
      <c r="A110" s="10"/>
      <c r="B110" s="10"/>
      <c r="C110" s="10"/>
      <c r="D110" s="10"/>
      <c r="E110" s="10"/>
      <c r="F110" s="17"/>
      <c r="G110" s="17"/>
      <c r="H110" s="10"/>
      <c r="I110" s="10"/>
    </row>
    <row r="111" spans="1:9" x14ac:dyDescent="0.3">
      <c r="A111" s="10" t="s">
        <v>41</v>
      </c>
      <c r="B111" s="17">
        <f>B105</f>
        <v>164.25399999999999</v>
      </c>
      <c r="C111" s="17">
        <f>C108+G105+1</f>
        <v>82.244</v>
      </c>
      <c r="D111" s="10"/>
      <c r="E111" s="10"/>
      <c r="F111" s="17">
        <f>F105</f>
        <v>30</v>
      </c>
      <c r="G111" s="17">
        <f>G105</f>
        <v>30</v>
      </c>
      <c r="H111" s="10">
        <f t="shared" ref="H111:I111" si="2">B111-(F111/2)</f>
        <v>149.25399999999999</v>
      </c>
      <c r="I111" s="10">
        <f t="shared" si="2"/>
        <v>67.244</v>
      </c>
    </row>
    <row r="112" spans="1:9" x14ac:dyDescent="0.3">
      <c r="A112" s="10"/>
      <c r="B112" s="10"/>
      <c r="C112" s="10"/>
      <c r="D112" s="10"/>
      <c r="E112" s="10"/>
      <c r="F112" s="17"/>
      <c r="G112" s="17"/>
      <c r="H112" s="10"/>
      <c r="I112" s="10"/>
    </row>
    <row r="113" spans="1:9" x14ac:dyDescent="0.3">
      <c r="A113" s="10" t="s">
        <v>44</v>
      </c>
      <c r="B113" s="17">
        <f>B105</f>
        <v>164.25399999999999</v>
      </c>
      <c r="C113" s="17">
        <f>C111+G111+1</f>
        <v>113.244</v>
      </c>
      <c r="D113" s="10"/>
      <c r="E113" s="10"/>
      <c r="F113" s="17">
        <f>F105</f>
        <v>30</v>
      </c>
      <c r="G113" s="17">
        <f>G105</f>
        <v>30</v>
      </c>
      <c r="H113" s="10">
        <f t="shared" ref="H113:I113" si="3">B113-(F113/2)</f>
        <v>149.25399999999999</v>
      </c>
      <c r="I113" s="10">
        <f t="shared" si="3"/>
        <v>98.244</v>
      </c>
    </row>
    <row r="114" spans="1:9" x14ac:dyDescent="0.3">
      <c r="A114" s="24"/>
      <c r="B114" s="25"/>
      <c r="C114" s="24"/>
      <c r="D114" s="24"/>
      <c r="E114" s="24"/>
      <c r="F114" s="25"/>
      <c r="G114" s="25"/>
      <c r="H114" s="24"/>
      <c r="I114" s="24"/>
    </row>
    <row r="115" spans="1:9" x14ac:dyDescent="0.3">
      <c r="A115" s="24"/>
      <c r="B115" s="25"/>
      <c r="C115" s="24"/>
      <c r="D115" s="24"/>
      <c r="E115" s="24"/>
      <c r="F115" s="25"/>
      <c r="G115" s="25"/>
      <c r="H115" s="24"/>
      <c r="I115" s="24"/>
    </row>
    <row r="136" spans="1:10" x14ac:dyDescent="0.3">
      <c r="J136" s="13"/>
    </row>
    <row r="138" spans="1:10" x14ac:dyDescent="0.3">
      <c r="A138" s="26"/>
      <c r="B138" s="24"/>
      <c r="C138" s="24"/>
      <c r="D138" s="24"/>
      <c r="E138" s="24"/>
      <c r="F138" s="24"/>
      <c r="G138" s="24"/>
      <c r="H138" s="24"/>
      <c r="I138" s="24"/>
    </row>
    <row r="139" spans="1:10" x14ac:dyDescent="0.3">
      <c r="A139" s="5"/>
    </row>
    <row r="141" spans="1:10" x14ac:dyDescent="0.3">
      <c r="H141" s="13"/>
    </row>
    <row r="149" spans="1:1" x14ac:dyDescent="0.3">
      <c r="A149" s="5"/>
    </row>
    <row r="150" spans="1:1" x14ac:dyDescent="0.3">
      <c r="A150" s="5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C16" sqref="C16"/>
    </sheetView>
  </sheetViews>
  <sheetFormatPr defaultRowHeight="14.4" x14ac:dyDescent="0.3"/>
  <cols>
    <col min="1" max="1" width="76.44140625" customWidth="1"/>
    <col min="2" max="2" width="16.44140625" customWidth="1"/>
    <col min="3" max="3" width="15.6640625" customWidth="1"/>
    <col min="4" max="4" width="13.5546875" customWidth="1"/>
    <col min="5" max="5" width="13.109375" customWidth="1"/>
    <col min="6" max="7" width="11.88671875" customWidth="1"/>
    <col min="8" max="8" width="16.44140625" customWidth="1"/>
    <col min="9" max="9" width="12.33203125" customWidth="1"/>
    <col min="10" max="10" width="81.44140625" customWidth="1"/>
  </cols>
  <sheetData>
    <row r="1" spans="1:9" ht="21" x14ac:dyDescent="0.4">
      <c r="A1" s="7" t="s">
        <v>58</v>
      </c>
    </row>
    <row r="2" spans="1:9" x14ac:dyDescent="0.3">
      <c r="A2" s="1"/>
      <c r="D2" s="2"/>
      <c r="E2" s="2"/>
    </row>
    <row r="3" spans="1:9" x14ac:dyDescent="0.3">
      <c r="A3" s="1"/>
      <c r="D3" s="2"/>
      <c r="E3" s="2"/>
    </row>
    <row r="4" spans="1:9" ht="18" x14ac:dyDescent="0.35">
      <c r="A4" s="8" t="s">
        <v>28</v>
      </c>
      <c r="B4" s="6" t="s">
        <v>30</v>
      </c>
      <c r="C4" s="2"/>
      <c r="E4" s="2"/>
    </row>
    <row r="5" spans="1:9" x14ac:dyDescent="0.3">
      <c r="A5" t="s">
        <v>0</v>
      </c>
      <c r="B5">
        <v>180</v>
      </c>
    </row>
    <row r="6" spans="1:9" x14ac:dyDescent="0.3">
      <c r="A6" t="s">
        <v>1</v>
      </c>
      <c r="B6">
        <v>66</v>
      </c>
    </row>
    <row r="7" spans="1:9" x14ac:dyDescent="0.3">
      <c r="A7" t="s">
        <v>2</v>
      </c>
      <c r="B7">
        <v>90</v>
      </c>
    </row>
    <row r="8" spans="1:9" x14ac:dyDescent="0.3">
      <c r="A8" t="s">
        <v>55</v>
      </c>
      <c r="B8">
        <v>3.5</v>
      </c>
    </row>
    <row r="11" spans="1:9" ht="18" x14ac:dyDescent="0.35">
      <c r="A11" s="8" t="s">
        <v>29</v>
      </c>
      <c r="B11" s="2" t="s">
        <v>3</v>
      </c>
      <c r="C11" s="2" t="s">
        <v>4</v>
      </c>
      <c r="D11" s="2" t="s">
        <v>31</v>
      </c>
      <c r="E11" s="2" t="s">
        <v>32</v>
      </c>
      <c r="F11" s="2" t="s">
        <v>9</v>
      </c>
      <c r="G11" s="2" t="s">
        <v>10</v>
      </c>
      <c r="H11" s="2" t="s">
        <v>11</v>
      </c>
      <c r="I11" s="2" t="s">
        <v>12</v>
      </c>
    </row>
    <row r="12" spans="1:9" x14ac:dyDescent="0.3">
      <c r="A12" t="s">
        <v>14</v>
      </c>
      <c r="B12">
        <f>B36</f>
        <v>6</v>
      </c>
      <c r="C12">
        <v>392</v>
      </c>
      <c r="D12" s="2"/>
      <c r="E12" s="2"/>
      <c r="F12" s="2"/>
      <c r="G12" s="2"/>
      <c r="H12" s="2"/>
      <c r="I12" s="2"/>
    </row>
    <row r="13" spans="1:9" x14ac:dyDescent="0.3">
      <c r="A13" t="s">
        <v>16</v>
      </c>
      <c r="B13">
        <v>180.01</v>
      </c>
      <c r="C13">
        <v>66.010000000000005</v>
      </c>
    </row>
    <row r="14" spans="1:9" x14ac:dyDescent="0.3">
      <c r="A14" t="s">
        <v>35</v>
      </c>
      <c r="B14">
        <f>$B$13/8</f>
        <v>22.501249999999999</v>
      </c>
      <c r="C14" s="4">
        <f>$C$13/2</f>
        <v>33.005000000000003</v>
      </c>
      <c r="D14">
        <f>B14+$B$12</f>
        <v>28.501249999999999</v>
      </c>
      <c r="E14" s="4">
        <f t="shared" ref="E14:E19" si="0">C14+$C$12</f>
        <v>425.005</v>
      </c>
      <c r="F14">
        <f>(3/8)*25.4</f>
        <v>9.5249999999999986</v>
      </c>
      <c r="G14">
        <f>F14</f>
        <v>9.5249999999999986</v>
      </c>
      <c r="H14">
        <f t="shared" ref="H14:I19" si="1">D14-(F14/2)</f>
        <v>23.73875</v>
      </c>
      <c r="I14">
        <f t="shared" si="1"/>
        <v>420.24250000000001</v>
      </c>
    </row>
    <row r="15" spans="1:9" x14ac:dyDescent="0.3">
      <c r="A15" t="s">
        <v>5</v>
      </c>
      <c r="B15">
        <f>$B$13/3</f>
        <v>60.00333333333333</v>
      </c>
      <c r="C15" s="4">
        <f>$C$13/2</f>
        <v>33.005000000000003</v>
      </c>
      <c r="D15">
        <f t="shared" ref="D15:D19" si="2">B15+$B$12</f>
        <v>66.00333333333333</v>
      </c>
      <c r="E15" s="4">
        <f t="shared" si="0"/>
        <v>425.005</v>
      </c>
      <c r="F15">
        <f>(1/4)*25.4</f>
        <v>6.35</v>
      </c>
      <c r="G15">
        <f>F15</f>
        <v>6.35</v>
      </c>
      <c r="H15">
        <f t="shared" si="1"/>
        <v>62.828333333333333</v>
      </c>
      <c r="I15">
        <f t="shared" si="1"/>
        <v>421.83</v>
      </c>
    </row>
    <row r="16" spans="1:9" x14ac:dyDescent="0.3">
      <c r="A16" t="s">
        <v>7</v>
      </c>
      <c r="B16">
        <f>B15</f>
        <v>60.00333333333333</v>
      </c>
      <c r="C16" s="4">
        <f>$C$13/2+21</f>
        <v>54.005000000000003</v>
      </c>
      <c r="D16">
        <f t="shared" si="2"/>
        <v>66.00333333333333</v>
      </c>
      <c r="E16" s="4">
        <f t="shared" si="0"/>
        <v>446.005</v>
      </c>
      <c r="F16">
        <v>36.975000000000001</v>
      </c>
      <c r="G16">
        <v>8</v>
      </c>
      <c r="H16">
        <f t="shared" si="1"/>
        <v>47.515833333333333</v>
      </c>
      <c r="I16">
        <f t="shared" si="1"/>
        <v>442.005</v>
      </c>
    </row>
    <row r="17" spans="1:9" x14ac:dyDescent="0.3">
      <c r="A17" t="s">
        <v>6</v>
      </c>
      <c r="B17">
        <f>$B$13/3*2</f>
        <v>120.00666666666666</v>
      </c>
      <c r="C17" s="4">
        <f>$C$13/2</f>
        <v>33.005000000000003</v>
      </c>
      <c r="D17">
        <f t="shared" si="2"/>
        <v>126.00666666666666</v>
      </c>
      <c r="E17" s="4">
        <f t="shared" si="0"/>
        <v>425.005</v>
      </c>
      <c r="F17">
        <f>(1/4)*25.4</f>
        <v>6.35</v>
      </c>
      <c r="G17">
        <f>F17</f>
        <v>6.35</v>
      </c>
      <c r="H17">
        <f t="shared" si="1"/>
        <v>122.83166666666666</v>
      </c>
      <c r="I17">
        <f t="shared" si="1"/>
        <v>421.83</v>
      </c>
    </row>
    <row r="18" spans="1:9" x14ac:dyDescent="0.3">
      <c r="A18" t="s">
        <v>8</v>
      </c>
      <c r="B18">
        <f>$B$13/3*2</f>
        <v>120.00666666666666</v>
      </c>
      <c r="C18" s="4">
        <f>$C$13/2+21</f>
        <v>54.005000000000003</v>
      </c>
      <c r="D18">
        <f t="shared" si="2"/>
        <v>126.00666666666666</v>
      </c>
      <c r="E18" s="4">
        <f t="shared" si="0"/>
        <v>446.005</v>
      </c>
      <c r="F18">
        <v>29.283999999999999</v>
      </c>
      <c r="G18">
        <v>8</v>
      </c>
      <c r="H18">
        <f t="shared" si="1"/>
        <v>111.36466666666666</v>
      </c>
      <c r="I18">
        <f>E18-(G18/2)-2</f>
        <v>440.005</v>
      </c>
    </row>
    <row r="19" spans="1:9" x14ac:dyDescent="0.3">
      <c r="A19" t="s">
        <v>36</v>
      </c>
      <c r="B19">
        <f>$B$13/8*7</f>
        <v>157.50874999999999</v>
      </c>
      <c r="C19" s="4">
        <f>$C$13/2</f>
        <v>33.005000000000003</v>
      </c>
      <c r="D19">
        <f t="shared" si="2"/>
        <v>163.50874999999999</v>
      </c>
      <c r="E19" s="4">
        <f t="shared" si="0"/>
        <v>425.005</v>
      </c>
      <c r="F19">
        <v>4.8499999999999996</v>
      </c>
      <c r="G19">
        <f>F19</f>
        <v>4.8499999999999996</v>
      </c>
      <c r="H19">
        <f t="shared" si="1"/>
        <v>161.08374999999998</v>
      </c>
      <c r="I19">
        <f t="shared" si="1"/>
        <v>422.58</v>
      </c>
    </row>
    <row r="20" spans="1:9" x14ac:dyDescent="0.3">
      <c r="C20" s="4"/>
      <c r="D20" s="3"/>
      <c r="E20" s="3"/>
    </row>
    <row r="21" spans="1:9" x14ac:dyDescent="0.3">
      <c r="C21" s="4"/>
      <c r="D21" s="3"/>
      <c r="E21" s="3"/>
    </row>
    <row r="22" spans="1:9" ht="18" x14ac:dyDescent="0.35">
      <c r="A22" s="8" t="s">
        <v>13</v>
      </c>
      <c r="B22" s="2" t="s">
        <v>3</v>
      </c>
      <c r="C22" s="2" t="s">
        <v>4</v>
      </c>
      <c r="D22" s="3"/>
      <c r="E22" s="3"/>
      <c r="H22" s="2" t="s">
        <v>11</v>
      </c>
      <c r="I22" s="2" t="s">
        <v>12</v>
      </c>
    </row>
    <row r="23" spans="1:9" x14ac:dyDescent="0.3">
      <c r="A23" t="s">
        <v>15</v>
      </c>
      <c r="B23">
        <v>187</v>
      </c>
      <c r="C23">
        <f>C12</f>
        <v>392</v>
      </c>
    </row>
    <row r="24" spans="1:9" x14ac:dyDescent="0.3">
      <c r="A24" t="s">
        <v>54</v>
      </c>
      <c r="B24">
        <v>180.01</v>
      </c>
      <c r="C24">
        <v>66.010000000000005</v>
      </c>
    </row>
    <row r="25" spans="1:9" x14ac:dyDescent="0.3">
      <c r="A25" t="s">
        <v>17</v>
      </c>
      <c r="B25">
        <v>9</v>
      </c>
      <c r="C25">
        <v>9</v>
      </c>
    </row>
    <row r="26" spans="1:9" x14ac:dyDescent="0.3">
      <c r="A26" t="s">
        <v>18</v>
      </c>
      <c r="F26">
        <f>B24-(B25*2)</f>
        <v>162.01</v>
      </c>
      <c r="G26">
        <v>32</v>
      </c>
      <c r="H26">
        <f>B23+B25</f>
        <v>196</v>
      </c>
      <c r="I26">
        <f>C23+C25</f>
        <v>401</v>
      </c>
    </row>
    <row r="27" spans="1:9" x14ac:dyDescent="0.3">
      <c r="A27" t="s">
        <v>39</v>
      </c>
      <c r="B27">
        <f>H27+(F27/2)</f>
        <v>212</v>
      </c>
      <c r="C27">
        <f>I27+(G27/2)</f>
        <v>417</v>
      </c>
      <c r="F27">
        <v>30</v>
      </c>
      <c r="G27">
        <v>30</v>
      </c>
      <c r="H27">
        <f>H26+1</f>
        <v>197</v>
      </c>
      <c r="I27">
        <f>I26+1</f>
        <v>402</v>
      </c>
    </row>
    <row r="28" spans="1:9" x14ac:dyDescent="0.3">
      <c r="A28" t="s">
        <v>40</v>
      </c>
      <c r="B28">
        <f>B27</f>
        <v>212</v>
      </c>
      <c r="C28">
        <f>C27</f>
        <v>417</v>
      </c>
      <c r="F28">
        <v>5.85</v>
      </c>
      <c r="G28">
        <v>4.2919999999999998</v>
      </c>
      <c r="H28">
        <f>B28-(F28/2)</f>
        <v>209.07499999999999</v>
      </c>
      <c r="I28">
        <f>C28-(G28/2)</f>
        <v>414.85399999999998</v>
      </c>
    </row>
    <row r="29" spans="1:9" x14ac:dyDescent="0.3">
      <c r="A29" t="s">
        <v>42</v>
      </c>
      <c r="B29">
        <f>B28+F29+1</f>
        <v>243</v>
      </c>
      <c r="C29">
        <f>C27</f>
        <v>417</v>
      </c>
      <c r="F29">
        <f>F27</f>
        <v>30</v>
      </c>
      <c r="G29">
        <f>G27</f>
        <v>30</v>
      </c>
      <c r="H29">
        <f>B29-(F29/2)</f>
        <v>228</v>
      </c>
      <c r="I29">
        <f>I27</f>
        <v>402</v>
      </c>
    </row>
    <row r="30" spans="1:9" x14ac:dyDescent="0.3">
      <c r="A30" t="s">
        <v>43</v>
      </c>
      <c r="B30">
        <f>B29</f>
        <v>243</v>
      </c>
      <c r="C30">
        <f>C29</f>
        <v>417</v>
      </c>
      <c r="F30">
        <f>F28</f>
        <v>5.85</v>
      </c>
      <c r="G30">
        <f>G28</f>
        <v>4.2919999999999998</v>
      </c>
      <c r="H30">
        <f>B30-(F30/2)</f>
        <v>240.07499999999999</v>
      </c>
      <c r="I30">
        <f>C30-(G30/2)</f>
        <v>414.85399999999998</v>
      </c>
    </row>
    <row r="31" spans="1:9" x14ac:dyDescent="0.3">
      <c r="A31" t="s">
        <v>41</v>
      </c>
      <c r="B31">
        <f>B29+F31+1</f>
        <v>274</v>
      </c>
      <c r="C31">
        <f>C27</f>
        <v>417</v>
      </c>
      <c r="F31">
        <f>F27</f>
        <v>30</v>
      </c>
      <c r="G31">
        <f>G27</f>
        <v>30</v>
      </c>
      <c r="H31">
        <f>B31-(F31/2)</f>
        <v>259</v>
      </c>
      <c r="I31">
        <f>C31-(G31/2)</f>
        <v>402</v>
      </c>
    </row>
    <row r="32" spans="1:9" x14ac:dyDescent="0.3">
      <c r="A32" t="s">
        <v>44</v>
      </c>
      <c r="B32">
        <f>B31+F32+1</f>
        <v>305</v>
      </c>
      <c r="C32">
        <f>C27</f>
        <v>417</v>
      </c>
      <c r="F32">
        <f>F27</f>
        <v>30</v>
      </c>
      <c r="G32">
        <f>G27</f>
        <v>30</v>
      </c>
      <c r="H32">
        <f>B32-(F32/2)</f>
        <v>290</v>
      </c>
      <c r="I32">
        <f>C32-(G32/2)</f>
        <v>402</v>
      </c>
    </row>
    <row r="35" spans="1:9" ht="18" x14ac:dyDescent="0.35">
      <c r="A35" s="8" t="s">
        <v>21</v>
      </c>
      <c r="B35" s="2" t="s">
        <v>3</v>
      </c>
      <c r="C35" s="2" t="s">
        <v>4</v>
      </c>
      <c r="H35" s="2" t="s">
        <v>11</v>
      </c>
      <c r="I35" s="2" t="s">
        <v>12</v>
      </c>
    </row>
    <row r="36" spans="1:9" x14ac:dyDescent="0.3">
      <c r="A36" t="s">
        <v>22</v>
      </c>
      <c r="B36">
        <v>6</v>
      </c>
      <c r="C36">
        <v>301</v>
      </c>
    </row>
    <row r="37" spans="1:9" x14ac:dyDescent="0.3">
      <c r="A37" t="s">
        <v>34</v>
      </c>
      <c r="B37">
        <v>180.01</v>
      </c>
      <c r="C37">
        <v>90.01</v>
      </c>
    </row>
    <row r="38" spans="1:9" x14ac:dyDescent="0.3">
      <c r="A38" t="s">
        <v>23</v>
      </c>
      <c r="B38">
        <v>50.648000000000003</v>
      </c>
      <c r="C38">
        <v>67.001000000000005</v>
      </c>
    </row>
    <row r="39" spans="1:9" x14ac:dyDescent="0.3">
      <c r="A39" t="s">
        <v>38</v>
      </c>
      <c r="B39">
        <f>B36+(B37/2)</f>
        <v>96.004999999999995</v>
      </c>
      <c r="C39">
        <f>C36+(C37/2)</f>
        <v>346.005</v>
      </c>
    </row>
    <row r="40" spans="1:9" x14ac:dyDescent="0.3">
      <c r="A40" t="s">
        <v>24</v>
      </c>
      <c r="B40">
        <f>B39-(B38/2)</f>
        <v>70.680999999999997</v>
      </c>
      <c r="C40">
        <f>C39-(C38/2)</f>
        <v>312.50450000000001</v>
      </c>
      <c r="H40">
        <f>B39-(B38/2)</f>
        <v>70.680999999999997</v>
      </c>
      <c r="I40">
        <f>C39-(C38/2)</f>
        <v>312.50450000000001</v>
      </c>
    </row>
    <row r="41" spans="1:9" x14ac:dyDescent="0.3">
      <c r="A41" t="s">
        <v>33</v>
      </c>
      <c r="B41">
        <v>7</v>
      </c>
    </row>
    <row r="42" spans="1:9" x14ac:dyDescent="0.3">
      <c r="A42" t="s">
        <v>25</v>
      </c>
      <c r="H42">
        <f>H40-B41</f>
        <v>63.680999999999997</v>
      </c>
      <c r="I42">
        <f>I40</f>
        <v>312.50450000000001</v>
      </c>
    </row>
    <row r="45" spans="1:9" ht="18" x14ac:dyDescent="0.35">
      <c r="A45" s="8" t="s">
        <v>19</v>
      </c>
      <c r="B45" s="2" t="s">
        <v>3</v>
      </c>
      <c r="C45" s="2" t="s">
        <v>4</v>
      </c>
      <c r="D45" s="2" t="s">
        <v>10</v>
      </c>
      <c r="F45" s="2"/>
      <c r="G45" s="2"/>
    </row>
    <row r="46" spans="1:9" x14ac:dyDescent="0.3">
      <c r="A46" s="5" t="s">
        <v>20</v>
      </c>
      <c r="B46">
        <v>187</v>
      </c>
      <c r="C46">
        <v>301</v>
      </c>
      <c r="H46">
        <f>B46</f>
        <v>187</v>
      </c>
      <c r="I46">
        <f>C46</f>
        <v>301</v>
      </c>
    </row>
    <row r="47" spans="1:9" x14ac:dyDescent="0.3">
      <c r="A47" s="5" t="s">
        <v>45</v>
      </c>
      <c r="B47">
        <f>B37</f>
        <v>180.01</v>
      </c>
      <c r="C47">
        <f>C37</f>
        <v>90.01</v>
      </c>
    </row>
    <row r="48" spans="1:9" x14ac:dyDescent="0.3">
      <c r="A48" s="5" t="s">
        <v>37</v>
      </c>
      <c r="G48">
        <v>6</v>
      </c>
      <c r="H48">
        <f>B46+15</f>
        <v>202</v>
      </c>
      <c r="I48">
        <f>I46+C47-20</f>
        <v>371.01</v>
      </c>
    </row>
    <row r="49" spans="1:9" x14ac:dyDescent="0.3">
      <c r="A49" s="5" t="s">
        <v>47</v>
      </c>
      <c r="G49">
        <v>5</v>
      </c>
      <c r="H49">
        <f>H48</f>
        <v>202</v>
      </c>
      <c r="I49">
        <f>I48-15</f>
        <v>356.01</v>
      </c>
    </row>
    <row r="50" spans="1:9" x14ac:dyDescent="0.3">
      <c r="A50" s="5" t="s">
        <v>46</v>
      </c>
      <c r="G50">
        <v>5</v>
      </c>
      <c r="H50">
        <f>H48</f>
        <v>202</v>
      </c>
      <c r="I50">
        <f>I49-15</f>
        <v>341.01</v>
      </c>
    </row>
    <row r="51" spans="1:9" x14ac:dyDescent="0.3">
      <c r="A51" s="5" t="s">
        <v>48</v>
      </c>
      <c r="G51">
        <v>5</v>
      </c>
      <c r="H51">
        <f>H48</f>
        <v>202</v>
      </c>
      <c r="I51">
        <f>I50-15</f>
        <v>326.01</v>
      </c>
    </row>
    <row r="52" spans="1:9" x14ac:dyDescent="0.3">
      <c r="A52" s="5" t="s">
        <v>49</v>
      </c>
      <c r="G52">
        <v>5</v>
      </c>
      <c r="H52">
        <f>H48</f>
        <v>202</v>
      </c>
      <c r="I52">
        <f>I51-15</f>
        <v>311.01</v>
      </c>
    </row>
    <row r="55" spans="1:9" ht="18" x14ac:dyDescent="0.35">
      <c r="A55" s="8" t="s">
        <v>51</v>
      </c>
      <c r="B55" s="2" t="s">
        <v>3</v>
      </c>
      <c r="C55" s="2" t="s">
        <v>4</v>
      </c>
      <c r="D55" s="2" t="s">
        <v>10</v>
      </c>
      <c r="F55" s="2"/>
      <c r="G55" s="2"/>
    </row>
    <row r="56" spans="1:9" x14ac:dyDescent="0.3">
      <c r="A56" s="5" t="s">
        <v>53</v>
      </c>
      <c r="B56">
        <v>368</v>
      </c>
      <c r="C56">
        <f>C46</f>
        <v>301</v>
      </c>
      <c r="H56">
        <f>B56</f>
        <v>368</v>
      </c>
      <c r="I56">
        <f>C56</f>
        <v>301</v>
      </c>
    </row>
    <row r="59" spans="1:9" ht="18" x14ac:dyDescent="0.35">
      <c r="A59" s="8" t="s">
        <v>52</v>
      </c>
      <c r="B59" s="2" t="s">
        <v>3</v>
      </c>
      <c r="C59" s="2" t="s">
        <v>4</v>
      </c>
      <c r="D59" s="2" t="s">
        <v>10</v>
      </c>
      <c r="F59" s="2"/>
      <c r="G59" s="2"/>
    </row>
    <row r="60" spans="1:9" x14ac:dyDescent="0.3">
      <c r="A60" s="5" t="s">
        <v>50</v>
      </c>
      <c r="B60">
        <f>B56</f>
        <v>368</v>
      </c>
      <c r="C60">
        <f>C23</f>
        <v>392</v>
      </c>
      <c r="H60">
        <f>B60</f>
        <v>368</v>
      </c>
      <c r="I60">
        <f>C60</f>
        <v>392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28" zoomScale="80" zoomScaleNormal="80" workbookViewId="0">
      <selection activeCell="I48" sqref="I48"/>
    </sheetView>
  </sheetViews>
  <sheetFormatPr defaultRowHeight="14.4" x14ac:dyDescent="0.3"/>
  <cols>
    <col min="1" max="1" width="76.44140625" customWidth="1"/>
    <col min="2" max="2" width="16.44140625" customWidth="1"/>
    <col min="3" max="3" width="15.6640625" customWidth="1"/>
    <col min="4" max="4" width="13.5546875" customWidth="1"/>
    <col min="5" max="5" width="13.109375" customWidth="1"/>
    <col min="6" max="7" width="11.88671875" customWidth="1"/>
    <col min="8" max="8" width="16.44140625" customWidth="1"/>
    <col min="9" max="9" width="12.33203125" customWidth="1"/>
    <col min="10" max="10" width="81.44140625" customWidth="1"/>
  </cols>
  <sheetData>
    <row r="1" spans="1:9" ht="21" x14ac:dyDescent="0.4">
      <c r="A1" s="7" t="s">
        <v>59</v>
      </c>
    </row>
    <row r="2" spans="1:9" x14ac:dyDescent="0.3">
      <c r="A2" s="1"/>
      <c r="D2" s="2"/>
      <c r="E2" s="2"/>
    </row>
    <row r="3" spans="1:9" x14ac:dyDescent="0.3">
      <c r="A3" s="1"/>
      <c r="D3" s="2"/>
      <c r="E3" s="2"/>
    </row>
    <row r="4" spans="1:9" ht="18" x14ac:dyDescent="0.35">
      <c r="A4" s="8" t="s">
        <v>28</v>
      </c>
      <c r="B4" s="6" t="s">
        <v>30</v>
      </c>
      <c r="C4" s="2"/>
      <c r="E4" s="2"/>
    </row>
    <row r="5" spans="1:9" x14ac:dyDescent="0.3">
      <c r="A5" t="s">
        <v>0</v>
      </c>
      <c r="B5">
        <v>160</v>
      </c>
    </row>
    <row r="6" spans="1:9" x14ac:dyDescent="0.3">
      <c r="A6" t="s">
        <v>1</v>
      </c>
      <c r="B6">
        <v>66</v>
      </c>
    </row>
    <row r="7" spans="1:9" x14ac:dyDescent="0.3">
      <c r="A7" t="s">
        <v>2</v>
      </c>
      <c r="B7">
        <v>90</v>
      </c>
    </row>
    <row r="8" spans="1:9" x14ac:dyDescent="0.3">
      <c r="A8" t="s">
        <v>55</v>
      </c>
      <c r="B8">
        <v>5.2</v>
      </c>
    </row>
    <row r="11" spans="1:9" ht="18" x14ac:dyDescent="0.35">
      <c r="A11" s="8" t="s">
        <v>29</v>
      </c>
      <c r="B11" s="2" t="s">
        <v>3</v>
      </c>
      <c r="C11" s="2" t="s">
        <v>4</v>
      </c>
      <c r="D11" s="2" t="s">
        <v>31</v>
      </c>
      <c r="E11" s="2" t="s">
        <v>32</v>
      </c>
      <c r="F11" s="2" t="s">
        <v>9</v>
      </c>
      <c r="G11" s="2" t="s">
        <v>10</v>
      </c>
      <c r="H11" s="2" t="s">
        <v>11</v>
      </c>
      <c r="I11" s="2" t="s">
        <v>12</v>
      </c>
    </row>
    <row r="12" spans="1:9" x14ac:dyDescent="0.3">
      <c r="A12" t="s">
        <v>14</v>
      </c>
      <c r="B12">
        <v>108</v>
      </c>
      <c r="C12">
        <v>5.1219999999999999</v>
      </c>
      <c r="D12" s="2"/>
      <c r="E12" s="2"/>
      <c r="F12" s="2"/>
      <c r="G12" s="2"/>
      <c r="H12" s="2"/>
      <c r="I12" s="2"/>
    </row>
    <row r="13" spans="1:9" x14ac:dyDescent="0.3">
      <c r="A13" t="s">
        <v>16</v>
      </c>
      <c r="B13">
        <v>180.01</v>
      </c>
      <c r="C13">
        <v>66.010000000000005</v>
      </c>
    </row>
    <row r="14" spans="1:9" x14ac:dyDescent="0.3">
      <c r="A14" t="s">
        <v>35</v>
      </c>
      <c r="B14">
        <f>B13/8</f>
        <v>22.501249999999999</v>
      </c>
      <c r="C14">
        <f>C13/2</f>
        <v>33.005000000000003</v>
      </c>
      <c r="D14">
        <f>B14+B12</f>
        <v>130.50125</v>
      </c>
      <c r="E14">
        <f>C14+C12</f>
        <v>38.127000000000002</v>
      </c>
      <c r="F14">
        <f>(3/8)*25.4</f>
        <v>9.5249999999999986</v>
      </c>
      <c r="G14">
        <f>F14</f>
        <v>9.5249999999999986</v>
      </c>
      <c r="H14">
        <f>D14-(F14/2)</f>
        <v>125.73875</v>
      </c>
      <c r="I14">
        <f>E14-(G14/2)</f>
        <v>33.364500000000007</v>
      </c>
    </row>
    <row r="15" spans="1:9" x14ac:dyDescent="0.3">
      <c r="A15" t="s">
        <v>5</v>
      </c>
      <c r="B15">
        <f>$B$13/3</f>
        <v>60.00333333333333</v>
      </c>
      <c r="C15" s="4">
        <f>$C$13/2</f>
        <v>33.005000000000003</v>
      </c>
      <c r="D15">
        <f t="shared" ref="D15:D18" si="0">B15+$B$12</f>
        <v>168.00333333333333</v>
      </c>
      <c r="E15" s="4">
        <f t="shared" ref="E15:E18" si="1">C15+$C$12</f>
        <v>38.127000000000002</v>
      </c>
      <c r="F15">
        <f>(1/4)*25.4</f>
        <v>6.35</v>
      </c>
      <c r="G15">
        <f>F15</f>
        <v>6.35</v>
      </c>
      <c r="H15">
        <f t="shared" ref="H15:I19" si="2">D15-(F15/2)</f>
        <v>164.82833333333332</v>
      </c>
      <c r="I15">
        <f t="shared" si="2"/>
        <v>34.952000000000005</v>
      </c>
    </row>
    <row r="16" spans="1:9" x14ac:dyDescent="0.3">
      <c r="A16" t="s">
        <v>7</v>
      </c>
      <c r="B16">
        <f>B15</f>
        <v>60.00333333333333</v>
      </c>
      <c r="C16" s="4">
        <f>$C$13/2+21</f>
        <v>54.005000000000003</v>
      </c>
      <c r="D16">
        <f t="shared" si="0"/>
        <v>168.00333333333333</v>
      </c>
      <c r="E16" s="4">
        <f t="shared" si="1"/>
        <v>59.127000000000002</v>
      </c>
      <c r="F16">
        <v>36.972000000000001</v>
      </c>
      <c r="G16">
        <v>7.9980000000000002</v>
      </c>
      <c r="H16">
        <f t="shared" si="2"/>
        <v>149.51733333333334</v>
      </c>
      <c r="I16">
        <f>E16-(G16/2)+2</f>
        <v>57.128</v>
      </c>
    </row>
    <row r="17" spans="1:9" x14ac:dyDescent="0.3">
      <c r="A17" t="s">
        <v>6</v>
      </c>
      <c r="B17">
        <f>$B$13/3*2</f>
        <v>120.00666666666666</v>
      </c>
      <c r="C17" s="4">
        <f>$C$13/2</f>
        <v>33.005000000000003</v>
      </c>
      <c r="D17">
        <f t="shared" si="0"/>
        <v>228.00666666666666</v>
      </c>
      <c r="E17" s="4">
        <f t="shared" si="1"/>
        <v>38.127000000000002</v>
      </c>
      <c r="F17">
        <f>(1/4)*25.4</f>
        <v>6.35</v>
      </c>
      <c r="G17">
        <f>F17</f>
        <v>6.35</v>
      </c>
      <c r="H17">
        <f t="shared" si="2"/>
        <v>224.83166666666665</v>
      </c>
      <c r="I17">
        <f t="shared" si="2"/>
        <v>34.952000000000005</v>
      </c>
    </row>
    <row r="18" spans="1:9" x14ac:dyDescent="0.3">
      <c r="A18" t="s">
        <v>8</v>
      </c>
      <c r="B18">
        <f>$B$13/3*2</f>
        <v>120.00666666666666</v>
      </c>
      <c r="C18" s="4">
        <f>$C$13/2+21</f>
        <v>54.005000000000003</v>
      </c>
      <c r="D18">
        <f t="shared" si="0"/>
        <v>228.00666666666666</v>
      </c>
      <c r="E18" s="4">
        <f t="shared" si="1"/>
        <v>59.127000000000002</v>
      </c>
      <c r="F18">
        <v>29.280999999999999</v>
      </c>
      <c r="G18">
        <v>7.9980000000000002</v>
      </c>
      <c r="H18">
        <f t="shared" si="2"/>
        <v>213.36616666666666</v>
      </c>
      <c r="I18">
        <f>E18-(G18/2)-2.6+2</f>
        <v>54.527999999999999</v>
      </c>
    </row>
    <row r="19" spans="1:9" x14ac:dyDescent="0.3">
      <c r="A19" t="s">
        <v>57</v>
      </c>
      <c r="B19">
        <f>B13/8*7</f>
        <v>157.50874999999999</v>
      </c>
      <c r="C19" s="4">
        <f>C13/2</f>
        <v>33.005000000000003</v>
      </c>
      <c r="D19">
        <f>B19+B12</f>
        <v>265.50874999999996</v>
      </c>
      <c r="E19" s="4">
        <f>C19+C12</f>
        <v>38.127000000000002</v>
      </c>
      <c r="F19">
        <v>4.8499999999999996</v>
      </c>
      <c r="G19">
        <f>F19</f>
        <v>4.8499999999999996</v>
      </c>
      <c r="H19">
        <f t="shared" si="2"/>
        <v>263.08374999999995</v>
      </c>
      <c r="I19">
        <f>E19-(G19/2)</f>
        <v>35.702000000000005</v>
      </c>
    </row>
    <row r="20" spans="1:9" x14ac:dyDescent="0.3">
      <c r="C20" s="4"/>
      <c r="D20" s="3"/>
      <c r="E20" s="3"/>
    </row>
    <row r="21" spans="1:9" x14ac:dyDescent="0.3">
      <c r="C21" s="4"/>
      <c r="D21" s="3"/>
      <c r="E21" s="3"/>
    </row>
    <row r="22" spans="1:9" ht="18" x14ac:dyDescent="0.35">
      <c r="A22" s="8" t="s">
        <v>13</v>
      </c>
      <c r="B22" s="2" t="s">
        <v>3</v>
      </c>
      <c r="C22" s="2" t="s">
        <v>4</v>
      </c>
      <c r="D22" s="3"/>
      <c r="E22" s="3"/>
      <c r="H22" s="2" t="s">
        <v>11</v>
      </c>
      <c r="I22" s="2" t="s">
        <v>12</v>
      </c>
    </row>
    <row r="23" spans="1:9" x14ac:dyDescent="0.3">
      <c r="A23" t="s">
        <v>15</v>
      </c>
      <c r="B23">
        <v>108</v>
      </c>
      <c r="C23">
        <v>150.78899999999999</v>
      </c>
    </row>
    <row r="24" spans="1:9" x14ac:dyDescent="0.3">
      <c r="A24" t="s">
        <v>54</v>
      </c>
      <c r="B24">
        <f>B13</f>
        <v>180.01</v>
      </c>
      <c r="C24">
        <f>C13</f>
        <v>66.010000000000005</v>
      </c>
    </row>
    <row r="25" spans="1:9" x14ac:dyDescent="0.3">
      <c r="A25" t="s">
        <v>17</v>
      </c>
      <c r="B25">
        <v>9</v>
      </c>
      <c r="C25">
        <v>9</v>
      </c>
    </row>
    <row r="26" spans="1:9" x14ac:dyDescent="0.3">
      <c r="A26" t="s">
        <v>18</v>
      </c>
      <c r="F26">
        <f>B24-(B25*2)</f>
        <v>162.01</v>
      </c>
      <c r="G26">
        <v>32</v>
      </c>
      <c r="H26">
        <f>B23+B25</f>
        <v>117</v>
      </c>
      <c r="I26">
        <f>C23+C25</f>
        <v>159.78899999999999</v>
      </c>
    </row>
    <row r="27" spans="1:9" x14ac:dyDescent="0.3">
      <c r="A27" t="s">
        <v>39</v>
      </c>
      <c r="B27">
        <f>H27+(F27/2)</f>
        <v>133</v>
      </c>
      <c r="C27">
        <f>I27+(G27/2)</f>
        <v>175.78899999999999</v>
      </c>
      <c r="F27">
        <v>30</v>
      </c>
      <c r="G27">
        <v>30</v>
      </c>
      <c r="H27">
        <f>H26+1</f>
        <v>118</v>
      </c>
      <c r="I27">
        <f>I26+1</f>
        <v>160.78899999999999</v>
      </c>
    </row>
    <row r="28" spans="1:9" x14ac:dyDescent="0.3">
      <c r="A28" t="s">
        <v>40</v>
      </c>
      <c r="B28">
        <f>B27</f>
        <v>133</v>
      </c>
      <c r="C28">
        <f>C27</f>
        <v>175.78899999999999</v>
      </c>
      <c r="F28">
        <v>5.85</v>
      </c>
      <c r="G28">
        <v>4.2919999999999998</v>
      </c>
      <c r="H28">
        <f>B28-(F28/2)</f>
        <v>130.07499999999999</v>
      </c>
      <c r="I28">
        <f>C28-(G28/2)</f>
        <v>173.643</v>
      </c>
    </row>
    <row r="29" spans="1:9" x14ac:dyDescent="0.3">
      <c r="A29" t="s">
        <v>42</v>
      </c>
      <c r="B29">
        <f>B28+F29+1</f>
        <v>164</v>
      </c>
      <c r="C29">
        <f>C27</f>
        <v>175.78899999999999</v>
      </c>
      <c r="F29">
        <f>F27</f>
        <v>30</v>
      </c>
      <c r="G29">
        <f>G27</f>
        <v>30</v>
      </c>
      <c r="H29">
        <f>B29-(F29/2)</f>
        <v>149</v>
      </c>
      <c r="I29">
        <f>I27</f>
        <v>160.78899999999999</v>
      </c>
    </row>
    <row r="30" spans="1:9" x14ac:dyDescent="0.3">
      <c r="A30" t="s">
        <v>43</v>
      </c>
      <c r="B30">
        <f>B29</f>
        <v>164</v>
      </c>
      <c r="C30">
        <f>C29</f>
        <v>175.78899999999999</v>
      </c>
      <c r="F30">
        <f>F28</f>
        <v>5.85</v>
      </c>
      <c r="G30">
        <f>G28</f>
        <v>4.2919999999999998</v>
      </c>
      <c r="H30">
        <f>B30-(F30/2)</f>
        <v>161.07499999999999</v>
      </c>
      <c r="I30">
        <f>C30-(G30/2)</f>
        <v>173.643</v>
      </c>
    </row>
    <row r="31" spans="1:9" x14ac:dyDescent="0.3">
      <c r="A31" t="s">
        <v>41</v>
      </c>
      <c r="B31">
        <f>B29+F31+1</f>
        <v>195</v>
      </c>
      <c r="C31">
        <f>C27</f>
        <v>175.78899999999999</v>
      </c>
      <c r="F31">
        <f>F27</f>
        <v>30</v>
      </c>
      <c r="G31">
        <f>G27</f>
        <v>30</v>
      </c>
      <c r="H31">
        <f>B31-(F31/2)</f>
        <v>180</v>
      </c>
      <c r="I31">
        <f>C31-(G31/2)</f>
        <v>160.78899999999999</v>
      </c>
    </row>
    <row r="32" spans="1:9" x14ac:dyDescent="0.3">
      <c r="A32" t="s">
        <v>44</v>
      </c>
      <c r="B32">
        <f>B31+F32+1</f>
        <v>226</v>
      </c>
      <c r="C32">
        <f>C27</f>
        <v>175.78899999999999</v>
      </c>
      <c r="F32">
        <f>F27</f>
        <v>30</v>
      </c>
      <c r="G32">
        <f>G27</f>
        <v>30</v>
      </c>
      <c r="H32">
        <f>B32-(F32/2)</f>
        <v>211</v>
      </c>
      <c r="I32">
        <f>C32-(G32/2)</f>
        <v>160.78899999999999</v>
      </c>
    </row>
    <row r="35" spans="1:9" ht="18" x14ac:dyDescent="0.35">
      <c r="A35" s="8" t="s">
        <v>21</v>
      </c>
      <c r="B35" s="2" t="s">
        <v>3</v>
      </c>
      <c r="C35" s="2" t="s">
        <v>4</v>
      </c>
      <c r="H35" s="2" t="s">
        <v>11</v>
      </c>
      <c r="I35" s="2" t="s">
        <v>12</v>
      </c>
    </row>
    <row r="36" spans="1:9" x14ac:dyDescent="0.3">
      <c r="A36" t="s">
        <v>22</v>
      </c>
      <c r="B36">
        <v>108</v>
      </c>
      <c r="C36">
        <v>66</v>
      </c>
    </row>
    <row r="37" spans="1:9" x14ac:dyDescent="0.3">
      <c r="A37" t="s">
        <v>34</v>
      </c>
      <c r="B37">
        <f>B24</f>
        <v>180.01</v>
      </c>
      <c r="C37">
        <v>90.01</v>
      </c>
    </row>
    <row r="38" spans="1:9" x14ac:dyDescent="0.3">
      <c r="A38" t="s">
        <v>23</v>
      </c>
      <c r="B38">
        <v>50.648000000000003</v>
      </c>
      <c r="C38">
        <v>67.001000000000005</v>
      </c>
    </row>
    <row r="39" spans="1:9" x14ac:dyDescent="0.3">
      <c r="A39" t="s">
        <v>38</v>
      </c>
      <c r="B39">
        <f>B36+(B37/2)</f>
        <v>198.005</v>
      </c>
      <c r="C39">
        <f>C36+(C37/2)</f>
        <v>111.005</v>
      </c>
    </row>
    <row r="40" spans="1:9" x14ac:dyDescent="0.3">
      <c r="A40" t="s">
        <v>24</v>
      </c>
      <c r="B40">
        <f>B39-(B38/2)</f>
        <v>172.68099999999998</v>
      </c>
      <c r="C40">
        <f>C39-(C38/2)</f>
        <v>77.504499999999993</v>
      </c>
      <c r="H40">
        <f>B39-(B38/2)</f>
        <v>172.68099999999998</v>
      </c>
      <c r="I40">
        <f>C39-(C38/2)</f>
        <v>77.504499999999993</v>
      </c>
    </row>
    <row r="41" spans="1:9" x14ac:dyDescent="0.3">
      <c r="A41" t="s">
        <v>33</v>
      </c>
      <c r="B41">
        <v>7</v>
      </c>
    </row>
    <row r="42" spans="1:9" x14ac:dyDescent="0.3">
      <c r="A42" t="s">
        <v>25</v>
      </c>
      <c r="H42">
        <f>H40-B41</f>
        <v>165.68099999999998</v>
      </c>
      <c r="I42">
        <f>I40</f>
        <v>77.504499999999993</v>
      </c>
    </row>
    <row r="45" spans="1:9" ht="18" x14ac:dyDescent="0.35">
      <c r="A45" s="8" t="s">
        <v>19</v>
      </c>
      <c r="B45" s="2" t="s">
        <v>3</v>
      </c>
      <c r="C45" s="2" t="s">
        <v>4</v>
      </c>
      <c r="D45" s="2" t="s">
        <v>10</v>
      </c>
      <c r="F45" s="2"/>
      <c r="G45" s="2"/>
    </row>
    <row r="46" spans="1:9" x14ac:dyDescent="0.3">
      <c r="A46" s="5" t="s">
        <v>20</v>
      </c>
      <c r="B46">
        <v>108</v>
      </c>
      <c r="C46">
        <v>211.62299999999999</v>
      </c>
      <c r="H46">
        <f>B46</f>
        <v>108</v>
      </c>
      <c r="I46">
        <f>C46</f>
        <v>211.62299999999999</v>
      </c>
    </row>
    <row r="47" spans="1:9" x14ac:dyDescent="0.3">
      <c r="A47" s="5" t="s">
        <v>45</v>
      </c>
      <c r="B47">
        <f>B37</f>
        <v>180.01</v>
      </c>
      <c r="C47">
        <f>C37</f>
        <v>90.01</v>
      </c>
    </row>
    <row r="48" spans="1:9" x14ac:dyDescent="0.3">
      <c r="A48" s="5" t="s">
        <v>37</v>
      </c>
      <c r="G48">
        <v>6</v>
      </c>
      <c r="H48">
        <f>B46+(B47/2)-(44.676/2)</f>
        <v>175.667</v>
      </c>
      <c r="I48">
        <f>I46+C47-20</f>
        <v>281.63299999999998</v>
      </c>
    </row>
    <row r="49" spans="1:9" x14ac:dyDescent="0.3">
      <c r="A49" s="5" t="s">
        <v>47</v>
      </c>
      <c r="G49">
        <v>5</v>
      </c>
      <c r="H49">
        <f>H48</f>
        <v>175.667</v>
      </c>
      <c r="I49">
        <f>I48-15</f>
        <v>266.63299999999998</v>
      </c>
    </row>
    <row r="50" spans="1:9" x14ac:dyDescent="0.3">
      <c r="A50" s="5" t="s">
        <v>46</v>
      </c>
      <c r="G50">
        <v>5</v>
      </c>
      <c r="H50">
        <f>H48</f>
        <v>175.667</v>
      </c>
      <c r="I50">
        <f>I49-15</f>
        <v>251.63299999999998</v>
      </c>
    </row>
    <row r="51" spans="1:9" x14ac:dyDescent="0.3">
      <c r="A51" s="5" t="s">
        <v>48</v>
      </c>
      <c r="G51">
        <v>5</v>
      </c>
      <c r="H51">
        <f>H48</f>
        <v>175.667</v>
      </c>
      <c r="I51">
        <f>I50-15</f>
        <v>236.63299999999998</v>
      </c>
    </row>
    <row r="52" spans="1:9" x14ac:dyDescent="0.3">
      <c r="A52" s="5" t="s">
        <v>49</v>
      </c>
      <c r="G52">
        <v>5</v>
      </c>
      <c r="H52">
        <f>H48</f>
        <v>175.667</v>
      </c>
      <c r="I52">
        <f>I51-15</f>
        <v>221.63299999999998</v>
      </c>
    </row>
    <row r="53" spans="1:9" x14ac:dyDescent="0.3">
      <c r="A53" s="5"/>
    </row>
    <row r="55" spans="1:9" ht="18" x14ac:dyDescent="0.35">
      <c r="A55" s="8" t="s">
        <v>51</v>
      </c>
      <c r="B55" s="2" t="s">
        <v>3</v>
      </c>
      <c r="C55" s="2" t="s">
        <v>4</v>
      </c>
      <c r="D55" s="2" t="s">
        <v>10</v>
      </c>
      <c r="F55" s="2"/>
      <c r="G55" s="2"/>
    </row>
    <row r="56" spans="1:9" x14ac:dyDescent="0.3">
      <c r="A56" s="5" t="s">
        <v>53</v>
      </c>
      <c r="B56">
        <v>23.22</v>
      </c>
      <c r="C56">
        <v>5.1219999999999999</v>
      </c>
      <c r="H56">
        <f>B56</f>
        <v>23.22</v>
      </c>
      <c r="I56">
        <f>C56</f>
        <v>5.1219999999999999</v>
      </c>
    </row>
    <row r="57" spans="1:9" x14ac:dyDescent="0.3">
      <c r="A57" s="5" t="s">
        <v>56</v>
      </c>
      <c r="B57">
        <f>C37</f>
        <v>90.01</v>
      </c>
      <c r="C57">
        <f>C24</f>
        <v>66.010000000000005</v>
      </c>
    </row>
    <row r="60" spans="1:9" ht="18" x14ac:dyDescent="0.35">
      <c r="A60" s="8" t="s">
        <v>52</v>
      </c>
      <c r="B60" s="2" t="s">
        <v>3</v>
      </c>
      <c r="C60" s="2" t="s">
        <v>4</v>
      </c>
      <c r="D60" s="2" t="s">
        <v>10</v>
      </c>
      <c r="F60" s="2"/>
      <c r="G60" s="2"/>
    </row>
    <row r="61" spans="1:9" x14ac:dyDescent="0.3">
      <c r="A61" s="5" t="s">
        <v>50</v>
      </c>
      <c r="B61">
        <v>282.81900000000002</v>
      </c>
      <c r="C61">
        <v>5.1219999999999999</v>
      </c>
      <c r="H61">
        <f>B61</f>
        <v>282.81900000000002</v>
      </c>
      <c r="I61">
        <f>C61</f>
        <v>5.1219999999999999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2P1_bamboo4</vt:lpstr>
      <vt:lpstr>maple5</vt:lpstr>
      <vt:lpstr>birch7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</cp:lastModifiedBy>
  <cp:lastPrinted>2017-05-01T06:25:15Z</cp:lastPrinted>
  <dcterms:created xsi:type="dcterms:W3CDTF">2015-06-06T17:56:06Z</dcterms:created>
  <dcterms:modified xsi:type="dcterms:W3CDTF">2017-05-30T04:38:23Z</dcterms:modified>
</cp:coreProperties>
</file>