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fundamentainvestments-my.sharepoint.com/personal/sebastianl_fundamentainvestments_onmicrosoft_com/Documents/FAM/Research/MEX/Kimberly Clark/"/>
    </mc:Choice>
  </mc:AlternateContent>
  <xr:revisionPtr revIDLastSave="1770" documentId="8_{238A0DE5-68C6-4D6A-8558-2CC41D960266}" xr6:coauthVersionLast="47" xr6:coauthVersionMax="47" xr10:uidLastSave="{3AF8183C-E64A-4FF5-B625-4F1205CBAAF4}"/>
  <bookViews>
    <workbookView xWindow="28680" yWindow="-120" windowWidth="29040" windowHeight="15720" activeTab="2" xr2:uid="{82DB1720-E741-442F-9496-027595A6F50F}"/>
  </bookViews>
  <sheets>
    <sheet name="Resumo" sheetId="13" r:id="rId1"/>
    <sheet name="PROJ" sheetId="2" r:id="rId2"/>
    <sheet name="FAT" sheetId="1" r:id="rId3"/>
    <sheet name="Graficos" sheetId="14" r:id="rId4"/>
    <sheet name="Raw Materials (2)" sheetId="12" r:id="rId5"/>
    <sheet name="Previews" sheetId="15" r:id="rId6"/>
    <sheet name="Comps" sheetId="5" r:id="rId7"/>
    <sheet name="Notes" sheetId="8" r:id="rId8"/>
    <sheet name="IPCN" sheetId="11" r:id="rId9"/>
    <sheet name="macro" sheetId="10" r:id="rId10"/>
    <sheet name="ESG" sheetId="16" r:id="rId11"/>
  </sheets>
  <externalReferences>
    <externalReference r:id="rId12"/>
    <externalReference r:id="rId13"/>
    <externalReference r:id="rId14"/>
  </externalReferences>
  <definedNames>
    <definedName name="__BAL1" localSheetId="9" hidden="1">{"pq_dr",#N/A,FALSE,"PQ"}</definedName>
    <definedName name="__BAL1" hidden="1">{"pq_dr",#N/A,FALSE,"PQ"}</definedName>
    <definedName name="__FDS_HYPERLINK_TOGGLE_STATE__" hidden="1">"ON"</definedName>
    <definedName name="_1_0_S" hidden="1">#REF!</definedName>
    <definedName name="_BAL1" localSheetId="9" hidden="1">{"pq_dr",#N/A,FALSE,"PQ"}</definedName>
    <definedName name="_BAL1" hidden="1">{"pq_dr",#N/A,FALSE,"PQ"}</definedName>
    <definedName name="_bdm.1356A79B419C4968A04114A9D157CB1B.edm" localSheetId="9" hidden="1">#REF!</definedName>
    <definedName name="_bdm.1356A79B419C4968A04114A9D157CB1B.edm" hidden="1">#REF!</definedName>
    <definedName name="_xlnm._FilterDatabase" localSheetId="6" hidden="1">Comps!$C$4:$X$4</definedName>
    <definedName name="_Key1" localSheetId="9" hidden="1">#REF!</definedName>
    <definedName name="_Key1" hidden="1">#REF!</definedName>
    <definedName name="_NG_ad662" comment="&lt;LinkedObjectInfo xmlns:xsi=&quot;http://www.w3.org/2001/XMLSchema-instance&quot; xmlns:xsd=&quot;http://www.w3.org/2001/XMLSchema&quot; LastUpdated=&quot;0001-01-01T00:00:00&quot; Style=&quot;BlueDiamond&quot; /&gt;">#REF!</definedName>
    <definedName name="_NG_bcb16" comment="&lt;LinkedObjectInfo xmlns:xsi=&quot;http://www.w3.org/2001/XMLSchema-instance&quot; xmlns:xsd=&quot;http://www.w3.org/2001/XMLSchema&quot; LastUpdated=&quot;0001-01-01T00:00:00&quot; Style=&quot;BlueDiamond&quot; /&gt;">#REF!</definedName>
    <definedName name="_Order1" hidden="1">0</definedName>
    <definedName name="_Sort" localSheetId="9" hidden="1">#REF!</definedName>
    <definedName name="_Sort" hidden="1">#REF!</definedName>
    <definedName name="A" localSheetId="9" hidden="1">{"adm_pl",#N/A,FALSE,"PL"}</definedName>
    <definedName name="A" hidden="1">{"adm_pl",#N/A,FALSE,"PL"}</definedName>
    <definedName name="aaa" localSheetId="9" hidden="1">{"FS`s",#N/A,TRUE,"FS's";"Icome St",#N/A,TRUE,"Income St.";"Balance Sh",#N/A,TRUE,"Balance Sh.";"Gross Margin",#N/A,TRUE,"Gross Margin"}</definedName>
    <definedName name="aaa" hidden="1">{"FS`s",#N/A,TRUE,"FS's";"Icome St",#N/A,TRUE,"Income St.";"Balance Sh",#N/A,TRUE,"Balance Sh.";"Gross Margin",#N/A,TRUE,"Gross Margin"}</definedName>
    <definedName name="abertura_fechamento" localSheetId="9" hidden="1">{"FS`s",#N/A,TRUE,"FS's";"Icome St",#N/A,TRUE,"Income St.";"Balance Sh",#N/A,TRUE,"Balance Sh.";"Gross Margin",#N/A,TRUE,"Gross Margin"}</definedName>
    <definedName name="abertura_fechamento" hidden="1">{"FS`s",#N/A,TRUE,"FS's";"Icome St",#N/A,TRUE,"Income St.";"Balance Sh",#N/A,TRUE,"Balance Sh.";"Gross Margin",#N/A,TRUE,"Gross Margin"}</definedName>
    <definedName name="Adjusted_EBIT">#REF!</definedName>
    <definedName name="Adjusted_EBITDA" localSheetId="9">#REF!</definedName>
    <definedName name="Adjusted_EBITDA">#REF!</definedName>
    <definedName name="anscount" hidden="1">3</definedName>
    <definedName name="Avg_shares_out__m" localSheetId="9">#REF!</definedName>
    <definedName name="Avg_shares_out__m">#REF!</definedName>
    <definedName name="b" localSheetId="9" hidden="1">{"adm_pl",#N/A,FALSE,"PL"}</definedName>
    <definedName name="b" hidden="1">{"adm_pl",#N/A,FALSE,"PL"}</definedName>
    <definedName name="bAL" localSheetId="9" hidden="1">{"adm_pl",#N/A,FALSE,"PL"}</definedName>
    <definedName name="bAL" hidden="1">{"adm_pl",#N/A,FALSE,"PL"}</definedName>
    <definedName name="Balance_sheet" localSheetId="9">#REF!</definedName>
    <definedName name="Balance_sheet">#REF!</definedName>
    <definedName name="Beer_volumes" localSheetId="9">#REF!</definedName>
    <definedName name="Beer_volumes">#REF!</definedName>
    <definedName name="Capital_Expenditures___Goodwill" localSheetId="9">#REF!</definedName>
    <definedName name="Capital_Expenditures___Goodwill">#REF!</definedName>
    <definedName name="Cash_Balance" localSheetId="9">#REF!</definedName>
    <definedName name="Cash_Balance">#REF!</definedName>
    <definedName name="Cash_Flow" localSheetId="9">#REF!</definedName>
    <definedName name="Cash_Flow">#REF!</definedName>
    <definedName name="Cash_Flow_Available_to_Investors" localSheetId="9">#REF!</definedName>
    <definedName name="Cash_Flow_Available_to_Investors">#REF!</definedName>
    <definedName name="CCY" localSheetId="9">#REF!</definedName>
    <definedName name="CCY">#REF!</definedName>
    <definedName name="Celulose" localSheetId="9">#REF!</definedName>
    <definedName name="Celulose">#REF!</definedName>
    <definedName name="Change_in_Working_Capital" localSheetId="9">#REF!</definedName>
    <definedName name="Change_in_Working_Capital">#REF!</definedName>
    <definedName name="Class" localSheetId="9">#REF!</definedName>
    <definedName name="Class">#REF!</definedName>
    <definedName name="Commission_income" localSheetId="9">#REF!</definedName>
    <definedName name="Commission_income">#REF!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RRENCY" localSheetId="9">#REF!</definedName>
    <definedName name="CURRENCY">#REF!</definedName>
    <definedName name="Data" localSheetId="9">OFFSET(#REF!,#REF!,0,#REF!)</definedName>
    <definedName name="Data">OFFSET(#REF!,#REF!,0,#REF!)</definedName>
    <definedName name="Dates" localSheetId="9">OFFSET(#REF!,#REF!,0,#REF!)</definedName>
    <definedName name="Dates">OFFSET(#REF!,#REF!,0,#REF!)</definedName>
    <definedName name="DCF_Valuation_Summary" localSheetId="9">#REF!</definedName>
    <definedName name="DCF_Valuation_Summary">#REF!</definedName>
    <definedName name="Debt_Target_Calculations" localSheetId="9">#REF!</definedName>
    <definedName name="Debt_Target_Calculations">#REF!</definedName>
    <definedName name="Deferred_tax_assets" localSheetId="9">#REF!</definedName>
    <definedName name="Deferred_tax_assets">#REF!</definedName>
    <definedName name="Deposits" localSheetId="9">#REF!</definedName>
    <definedName name="Deposits">#REF!</definedName>
    <definedName name="Dividends" localSheetId="9">#REF!</definedName>
    <definedName name="Dividends">#REF!</definedName>
    <definedName name="DivLiq" localSheetId="9">#REF!</definedName>
    <definedName name="DivLiq">#REF!</definedName>
    <definedName name="Dupont_Analysis" localSheetId="9">#REF!</definedName>
    <definedName name="Dupont_Analysis">#REF!</definedName>
    <definedName name="Earnings_before_taxes" localSheetId="9">#REF!</definedName>
    <definedName name="Earnings_before_taxes">#REF!</definedName>
    <definedName name="ebitda03" localSheetId="9">#REF!</definedName>
    <definedName name="ebitda03">#REF!</definedName>
    <definedName name="ebitda04" localSheetId="9">#REF!</definedName>
    <definedName name="ebitda04">#REF!</definedName>
    <definedName name="ebitda05" localSheetId="9">#REF!</definedName>
    <definedName name="ebitda05">#REF!</definedName>
    <definedName name="Economics">#REF!</definedName>
    <definedName name="Extra_items__after_tax" localSheetId="9">#REF!</definedName>
    <definedName name="Extra_items__after_tax">#REF!</definedName>
    <definedName name="Forecast_currency" localSheetId="9">#REF!</definedName>
    <definedName name="Forecast_currency">#REF!</definedName>
    <definedName name="FS_Bronstein" localSheetId="9" hidden="1">{"FS`s",#N/A,TRUE,"FS's";"Icome St",#N/A,TRUE,"Income St.";"Balance Sh",#N/A,TRUE,"Balance Sh.";"Gross Margin",#N/A,TRUE,"Gross Margin"}</definedName>
    <definedName name="FS_Bronstein" hidden="1">{"FS`s",#N/A,TRUE,"FS's";"Icome St",#N/A,TRUE,"Income St.";"Balance Sh",#N/A,TRUE,"Balance Sh.";"Gross Margin",#N/A,TRUE,"Gross Margin"}</definedName>
    <definedName name="fsdfsdf" localSheetId="9" hidden="1">{"FS`s",#N/A,TRUE,"FS's";"Icome St",#N/A,TRUE,"Income St.";"Balance Sh",#N/A,TRUE,"Balance Sh.";"Gross Margin",#N/A,TRUE,"Gross Margin"}</definedName>
    <definedName name="fsdfsdf" hidden="1">{"FS`s",#N/A,TRUE,"FS's";"Icome St",#N/A,TRUE,"Income St.";"Balance Sh",#N/A,TRUE,"Balance Sh.";"Gross Margin",#N/A,TRUE,"Gross Margin"}</definedName>
    <definedName name="Gain__loss__due_to_inflation">#REF!</definedName>
    <definedName name="Gross_Cash_Flow" localSheetId="9">#REF!</definedName>
    <definedName name="Gross_Cash_Flow">#REF!</definedName>
    <definedName name="hjhjhj" localSheetId="9" hidden="1">{#N/A,#N/A,FALSE,"Index";"Stmts_Qtrs",#N/A,FALSE,"Summary";"Stmts_24 mo",#N/A,FALSE,"Summary";"Summary_24",#N/A,FALSE,"Revenue";"Month_24",#N/A,FALSE,"Engineering";"Month_24",#N/A,FALSE,"Marketing";"Month_24",#N/A,FALSE,"G &amp; A";"Month_24",#N/A,FALSE,"Manufacturing"}</definedName>
    <definedName name="hjhjhj" hidden="1">{#N/A,#N/A,FALSE,"Index";"Stmts_Qtrs",#N/A,FALSE,"Summary";"Stmts_24 mo",#N/A,FALSE,"Summary";"Summary_24",#N/A,FALSE,"Revenue";"Month_24",#N/A,FALSE,"Engineering";"Month_24",#N/A,FALSE,"Marketing";"Month_24",#N/A,FALSE,"G &amp; A";"Month_24",#N/A,FALSE,"Manufacturing"}</definedName>
    <definedName name="HTML_CodePage" hidden="1">1252</definedName>
    <definedName name="HTML_Control" localSheetId="9" hidden="1">{"'Sheet1'!$A$12:$K$110"}</definedName>
    <definedName name="HTML_Control" hidden="1">{"'Sheet1'!$A$12:$K$110"}</definedName>
    <definedName name="HTML_Description" hidden="1">""</definedName>
    <definedName name="HTML_Email" hidden="1">""</definedName>
    <definedName name="HTML_Header" hidden="1">"Sheet1"</definedName>
    <definedName name="HTML_LastUpdate" hidden="1">"2/3/99"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HD:TEACHING:EqValnSpr99:datasets99:wacc.html"</definedName>
    <definedName name="HTML_Title" hidden="1">"wacc"</definedName>
    <definedName name="IF" localSheetId="9" hidden="1">{"FS`s",#N/A,TRUE,"FS's";"Icome St",#N/A,TRUE,"Income St.";"Balance Sh",#N/A,TRUE,"Balance Sh.";"Gross Margin",#N/A,TRUE,"Gross Margin"}</definedName>
    <definedName name="IF" hidden="1">{"FS`s",#N/A,TRUE,"FS's";"Icome St",#N/A,TRUE,"Income St.";"Balance Sh",#N/A,TRUE,"Balance Sh.";"Gross Margin",#N/A,TRUE,"Gross Margin"}</definedName>
    <definedName name="Img_ML_1y7a6c1t" hidden="1">"IMG_5"</definedName>
    <definedName name="Img_ML_3b3j3x9k" hidden="1">"IMG_5"</definedName>
    <definedName name="Img_ML_3c7g1a7g" hidden="1">"IMG_18"</definedName>
    <definedName name="Img_ML_3e2q4k7i" hidden="1">"IMG_1"</definedName>
    <definedName name="Img_ML_6f2p1m9g" hidden="1">"IMG_10"</definedName>
    <definedName name="Img_ML_6r9u1n9k" hidden="1">"IMG_55"</definedName>
    <definedName name="Img_ML_6y9f7y3n" hidden="1">"IMG_10"</definedName>
    <definedName name="Img_ML_7g5e5e2b" hidden="1">"IMG_10"</definedName>
    <definedName name="Img_ML_7n6h3t1t" hidden="1">"IMG_10"</definedName>
    <definedName name="Img_ML_8b9j5t1p" hidden="1">"IMG_42"</definedName>
    <definedName name="Img_ML_8j3w6p4c" hidden="1">"IMG_17"</definedName>
    <definedName name="Img_ML_8r1k8t4y" hidden="1">"IMG_18"</definedName>
    <definedName name="Income_from_affiliated_companies" localSheetId="9">#REF!</definedName>
    <definedName name="Income_from_affiliated_companies">#REF!</definedName>
    <definedName name="Income_statement" localSheetId="9">#REF!</definedName>
    <definedName name="Income_statement">#REF!</definedName>
    <definedName name="Income_taxes" localSheetId="9">#REF!</definedName>
    <definedName name="Income_taxes">#REF!</definedName>
    <definedName name="inf" localSheetId="9">#REF!</definedName>
    <definedName name="inf">#REF!</definedName>
    <definedName name="Investments_in_affiliated_cos" localSheetId="9">#REF!</definedName>
    <definedName name="Investments_in_affiliated_cos">#REF!</definedName>
    <definedName name="JNPRpublish" localSheetId="9" hidden="1">{#N/A,#N/A,FALSE,"Index";"Stmts_Qtrs",#N/A,FALSE,"Summary";"Stmts_24 mo",#N/A,FALSE,"Summary";"Summary_24",#N/A,FALSE,"Revenue";"Month_24",#N/A,FALSE,"Engineering";"Month_24",#N/A,FALSE,"Marketing";"Month_24",#N/A,FALSE,"G &amp; A";"Month_24",#N/A,FALSE,"Manufacturing"}</definedName>
    <definedName name="JNPRpublish" hidden="1">{#N/A,#N/A,FALSE,"Index";"Stmts_Qtrs",#N/A,FALSE,"Summary";"Stmts_24 mo",#N/A,FALSE,"Summary";"Summary_24",#N/A,FALSE,"Revenue";"Month_24",#N/A,FALSE,"Engineering";"Month_24",#N/A,FALSE,"Marketing";"Month_24",#N/A,FALSE,"G &amp; A";"Month_24",#N/A,FALSE,"Manufacturing"}</definedName>
    <definedName name="Key_Operating_Ratios" localSheetId="9">#REF!</definedName>
    <definedName name="Key_Operating_Ratios">#REF!</definedName>
    <definedName name="klklklkl" localSheetId="9" hidden="1">{#N/A,#N/A,FALSE,"Index";"Stmts_Qtrs",#N/A,FALSE,"Summary";"Stmts_24 mo",#N/A,FALSE,"Summary";"Summary_24",#N/A,FALSE,"Revenue";"Month_24",#N/A,FALSE,"Engineering";"Month_24",#N/A,FALSE,"Marketing";"Month_24",#N/A,FALSE,"G &amp; A";"Month_24",#N/A,FALSE,"Manufacturing"}</definedName>
    <definedName name="klklklkl" hidden="1">{#N/A,#N/A,FALSE,"Index";"Stmts_Qtrs",#N/A,FALSE,"Summary";"Stmts_24 mo",#N/A,FALSE,"Summary";"Summary_24",#N/A,FALSE,"Revenue";"Month_24",#N/A,FALSE,"Engineering";"Month_24",#N/A,FALSE,"Marketing";"Month_24",#N/A,FALSE,"G &amp; A";"Month_24",#N/A,FALSE,"Manufacturing"}</definedName>
    <definedName name="Lang" localSheetId="9">#REF!</definedName>
    <definedName name="Lang">#REF!</definedName>
    <definedName name="Last_Fiscal_Year" localSheetId="9">#REF!</definedName>
    <definedName name="Last_Fiscal_Year">#REF!</definedName>
    <definedName name="Last_Historical_year" localSheetId="9">#REF!</definedName>
    <definedName name="Last_Historical_year">#REF!</definedName>
    <definedName name="Loan_loss_provisions" localSheetId="9">#REF!</definedName>
    <definedName name="Loan_loss_provisions">#REF!</definedName>
    <definedName name="Loan_loss_reserves" localSheetId="9">#REF!</definedName>
    <definedName name="Loan_loss_reserves">#REF!</definedName>
    <definedName name="lucro03" localSheetId="9">#REF!</definedName>
    <definedName name="lucro03">#REF!</definedName>
    <definedName name="lucro04" localSheetId="9">#REF!</definedName>
    <definedName name="lucro04">#REF!</definedName>
    <definedName name="lucro05" localSheetId="9">#REF!</definedName>
    <definedName name="lucro05">#REF!</definedName>
    <definedName name="MACROECONOMIC_DATA" localSheetId="9">#REF!</definedName>
    <definedName name="MACROECONOMIC_DATA">#REF!</definedName>
    <definedName name="MercadoInterno" localSheetId="9">#REF!</definedName>
    <definedName name="MercadoInterno">#REF!</definedName>
    <definedName name="MgBruta" localSheetId="9">#REF!</definedName>
    <definedName name="MgBruta">#REF!</definedName>
    <definedName name="MgEbitda" localSheetId="9">#REF!</definedName>
    <definedName name="MgEbitda">#REF!</definedName>
    <definedName name="Minority_gain_loss" localSheetId="9">#REF!</definedName>
    <definedName name="Minority_gain_loss">#REF!</definedName>
    <definedName name="Minority_interest" localSheetId="9">#REF!</definedName>
    <definedName name="Minority_interest">#REF!</definedName>
    <definedName name="multSecurities_L">#REF!</definedName>
    <definedName name="Nacoes" localSheetId="9">#REF!</definedName>
    <definedName name="Nacoes">#REF!</definedName>
    <definedName name="Net_financial_income" localSheetId="9">#REF!</definedName>
    <definedName name="Net_financial_income">#REF!</definedName>
    <definedName name="Net_income" localSheetId="9">#REF!</definedName>
    <definedName name="Net_income">#REF!</definedName>
    <definedName name="Net_Income_Adj_Earnings_PreAbnormal_Goodwill_Amort" localSheetId="9">#REF!</definedName>
    <definedName name="Net_Income_Adj_Earnings_PreAbnormal_Goodwill_Amort">#REF!</definedName>
    <definedName name="Net_Property_Equipment" localSheetId="9">#REF!</definedName>
    <definedName name="Net_Property_Equipment">#REF!</definedName>
    <definedName name="nmnmm" localSheetId="9" hidden="1">{#N/A,#N/A,FALSE,"Index";"Stmts_Qtrs",#N/A,FALSE,"Summary";"Stmts_24 mo",#N/A,FALSE,"Summary";"Summary_24",#N/A,FALSE,"Revenue";"Month_24",#N/A,FALSE,"Engineering";"Month_24",#N/A,FALSE,"Marketing";"Month_24",#N/A,FALSE,"G &amp; A";"Month_24",#N/A,FALSE,"Manufacturing"}</definedName>
    <definedName name="nmnmm" hidden="1">{#N/A,#N/A,FALSE,"Index";"Stmts_Qtrs",#N/A,FALSE,"Summary";"Stmts_24 mo",#N/A,FALSE,"Summary";"Summary_24",#N/A,FALSE,"Revenue";"Month_24",#N/A,FALSE,"Engineering";"Month_24",#N/A,FALSE,"Marketing";"Month_24",#N/A,FALSE,"G &amp; A";"Month_24",#N/A,FALSE,"Manufacturing"}</definedName>
    <definedName name="Non_operating_income__expense" localSheetId="9">#REF!</definedName>
    <definedName name="Non_operating_income__expense">#REF!</definedName>
    <definedName name="Nonperforming_loans" localSheetId="9">#REF!</definedName>
    <definedName name="Nonperforming_loans">#REF!</definedName>
    <definedName name="NOPLAT" localSheetId="9">#REF!</definedName>
    <definedName name="NOPLAT">#REF!</definedName>
    <definedName name="nove" localSheetId="9" hidden="1">{"pq_dr",#N/A,FALSE,"PQ"}</definedName>
    <definedName name="nove" hidden="1">{"pq_dr",#N/A,FALSE,"PQ"}</definedName>
    <definedName name="Operating___Assumptions" localSheetId="9">#REF!</definedName>
    <definedName name="Operating___Assumptions">#REF!</definedName>
    <definedName name="Other_assets" localSheetId="9">#REF!</definedName>
    <definedName name="Other_assets">#REF!</definedName>
    <definedName name="Other_borrowed_funds" localSheetId="9">#REF!</definedName>
    <definedName name="Other_borrowed_funds">#REF!</definedName>
    <definedName name="Other_income" localSheetId="9">#REF!</definedName>
    <definedName name="Other_income">#REF!</definedName>
    <definedName name="Other_liabilities" localSheetId="9">#REF!</definedName>
    <definedName name="Other_liabilities">#REF!</definedName>
    <definedName name="Performing_loans" localSheetId="9">#REF!</definedName>
    <definedName name="Performing_loans">#REF!</definedName>
    <definedName name="prange" localSheetId="9">F_INCOME,F_BALANCE,f_free_cash_flow,f_ratios,f_valuation</definedName>
    <definedName name="prange" localSheetId="4">F_INCOME,F_BALANCE,f_free_cash_flow,f_ratios,f_valuation</definedName>
    <definedName name="prange">F_INCOME,F_BALANCE,f_free_cash_flow,f_ratios,f_valuation</definedName>
    <definedName name="Pre_Tax_Income" localSheetId="9">#REF!</definedName>
    <definedName name="Pre_Tax_Income">#REF!</definedName>
    <definedName name="PreTax_Income_Adj" localSheetId="9">#REF!</definedName>
    <definedName name="PreTax_Income_Adj">#REF!</definedName>
    <definedName name="Reconciliation_to_balance" localSheetId="9">#REF!</definedName>
    <definedName name="Reconciliation_to_balance">#REF!</definedName>
    <definedName name="Reported_Net_Income" localSheetId="9">#REF!</definedName>
    <definedName name="Reported_Net_Income">#REF!</definedName>
    <definedName name="Resumo" localSheetId="9" hidden="1">{#N/A,#N/A,FALSE,"Index";"Stmts_Qtrs",#N/A,FALSE,"Summary";"Stmts_24 mo",#N/A,FALSE,"Summary";"Summary_24",#N/A,FALSE,"Revenue";"Month_24",#N/A,FALSE,"Engineering";"Month_24",#N/A,FALSE,"Marketing";"Month_24",#N/A,FALSE,"G &amp; A";"Month_24",#N/A,FALSE,"Manufacturing"}</definedName>
    <definedName name="Resumo" hidden="1">{#N/A,#N/A,FALSE,"Index";"Stmts_Qtrs",#N/A,FALSE,"Summary";"Stmts_24 mo",#N/A,FALSE,"Summary";"Summary_24",#N/A,FALSE,"Revenue";"Month_24",#N/A,FALSE,"Engineering";"Month_24",#N/A,FALSE,"Marketing";"Month_24",#N/A,FALSE,"G &amp; A";"Month_24",#N/A,FALSE,"Manufacturing"}</definedName>
    <definedName name="roberta" localSheetId="9" hidden="1">{"bow_brasil",#N/A,FALSE,"AMF"}</definedName>
    <definedName name="roberta" hidden="1">{"bow_brasil",#N/A,FALSE,"AMF"}</definedName>
    <definedName name="ROIC" localSheetId="9">#REF!</definedName>
    <definedName name="ROIC">#REF!</definedName>
    <definedName name="Securities_investments" localSheetId="9">#REF!</definedName>
    <definedName name="Securities_investments">#REF!</definedName>
    <definedName name="Split_adjusted_avg_shares_out__m" localSheetId="9">#REF!</definedName>
    <definedName name="Split_adjusted_avg_shares_out__m">#REF!</definedName>
    <definedName name="SpreadsheetBuilder_1" hidden="1">'Raw Materials (2)'!$A$2:$E$8</definedName>
    <definedName name="SPWS_WBID">"9E2A1F11-A62F-11D2-9122-444553540000"</definedName>
    <definedName name="ss" localSheetId="9" hidden="1">{"view1",#N/A,FALSE,"Consolidated";"view2",#N/A,FALSE,"Consolidated (sum)";"view1",#N/A,FALSE,"Gen Sys";"view1",#N/A,FALSE,"Semicon";"view1",#N/A,FALSE,"Mess|Med";"view1",#N/A,FALSE,"Land Mob";"view1",#N/A,FALSE,"Other Prod";"view1",#N/A,FALSE,"Adj|Elim"}</definedName>
    <definedName name="ss" hidden="1">{"view1",#N/A,FALSE,"Consolidated";"view2",#N/A,FALSE,"Consolidated (sum)";"view1",#N/A,FALSE,"Gen Sys";"view1",#N/A,FALSE,"Semicon";"view1",#N/A,FALSE,"Mess|Med";"view1",#N/A,FALSE,"Land Mob";"view1",#N/A,FALSE,"Other Prod";"view1",#N/A,FALSE,"Adj|Elim"}</definedName>
    <definedName name="target" localSheetId="9">#REF!</definedName>
    <definedName name="target">#REF!</definedName>
    <definedName name="Taxes_on_EBIT" localSheetId="9">#REF!</definedName>
    <definedName name="Taxes_on_EBIT">#REF!</definedName>
    <definedName name="ticker" localSheetId="9">OFFSET(#REF!,1,0,COUNTA(#REF!)-1,1)</definedName>
    <definedName name="TICKER">#REF!</definedName>
    <definedName name="TKR" localSheetId="9">#REF!</definedName>
    <definedName name="TKR">#REF!</definedName>
    <definedName name="Total_Assets" localSheetId="9">#REF!</definedName>
    <definedName name="Total_Assets">#REF!</definedName>
    <definedName name="Total_equity" localSheetId="9">#REF!</definedName>
    <definedName name="Total_equity">#REF!</definedName>
    <definedName name="Total_Investor_Funds" localSheetId="9">#REF!</definedName>
    <definedName name="Total_Investor_Funds">#REF!</definedName>
    <definedName name="Total_liabilities" localSheetId="9">#REF!</definedName>
    <definedName name="Total_liabilities">#REF!</definedName>
    <definedName name="Total_operating_expenses" localSheetId="9">#REF!</definedName>
    <definedName name="Total_operating_expenses">#REF!</definedName>
    <definedName name="Total_operating_revenues" localSheetId="9">#REF!</definedName>
    <definedName name="Total_operating_revenues">#REF!</definedName>
    <definedName name="Trading_income" localSheetId="9">#REF!</definedName>
    <definedName name="Trading_income">#REF!</definedName>
    <definedName name="UCM_9" localSheetId="9" hidden="1">{"FS`s",#N/A,TRUE,"FS's";"Icome St",#N/A,TRUE,"Income St.";"Balance Sh",#N/A,TRUE,"Balance Sh.";"Gross Margin",#N/A,TRUE,"Gross Margin"}</definedName>
    <definedName name="UCM_9" hidden="1">{"FS`s",#N/A,TRUE,"FS's";"Icome St",#N/A,TRUE,"Income St.";"Balance Sh",#N/A,TRUE,"Balance Sh.";"Gross Margin",#N/A,TRUE,"Gross Margin"}</definedName>
    <definedName name="VALUATIONS" localSheetId="9">#REF!</definedName>
    <definedName name="VALUATIONS">#REF!</definedName>
    <definedName name="wrn.adm_pl." localSheetId="9" hidden="1">{"adm_pl",#N/A,FALSE,"PL"}</definedName>
    <definedName name="wrn.adm_pl." hidden="1">{"adm_pl",#N/A,FALSE,"PL"}</definedName>
    <definedName name="wrn.adm_rtp." localSheetId="9" hidden="1">{"adm_rtp",#N/A,FALSE,"PQ"}</definedName>
    <definedName name="wrn.adm_rtp." hidden="1">{"adm_rtp",#N/A,FALSE,"PQ"}</definedName>
    <definedName name="wrn.argentina." localSheetId="9" hidden="1">{"argentina",#N/A,FALSE,"PL"}</definedName>
    <definedName name="wrn.argentina." hidden="1">{"argentina",#N/A,FALSE,"PL"}</definedName>
    <definedName name="wrn.bow_argentina." localSheetId="9" hidden="1">{"bow_argentina",#N/A,FALSE,"AMF"}</definedName>
    <definedName name="wrn.bow_argentina." hidden="1">{"bow_argentina",#N/A,FALSE,"AMF"}</definedName>
    <definedName name="wrn.bow_brasil." localSheetId="9" hidden="1">{"bow_brasil",#N/A,FALSE,"AMF"}</definedName>
    <definedName name="wrn.bow_brasil." hidden="1">{"bow_brasil",#N/A,FALSE,"AMF"}</definedName>
    <definedName name="wrn.CONSOLIDADO." localSheetId="9" hidden="1">{"CONSOLIDADO",#N/A,FALSE,"TOT"}</definedName>
    <definedName name="wrn.CONSOLIDADO." hidden="1">{"CONSOLIDADO",#N/A,FALSE,"TOT"}</definedName>
    <definedName name="wrn.Consolidated._.Statements." localSheetId="9" hidden="1">{"view1",#N/A,FALSE,"EARN (US$)";"view1",#N/A,FALSE,"DASTBS (US$)";"view1",#N/A,FALSE,"DASTCF (US$)"}</definedName>
    <definedName name="wrn.Consolidated._.Statements." hidden="1">{"view1",#N/A,FALSE,"EARN (US$)";"view1",#N/A,FALSE,"DASTBS (US$)";"view1",#N/A,FALSE,"DASTCF (US$)"}</definedName>
    <definedName name="wrn.Covers." localSheetId="9" hidden="1">{"view1",#N/A,FALSE,"MOTEARN";"view1",#N/A,FALSE,"Bal Sht";"view1",#N/A,FALSE,"Cash Flows"}</definedName>
    <definedName name="wrn.Covers." hidden="1">{"view1",#N/A,FALSE,"MOTEARN";"view1",#N/A,FALSE,"Bal Sht";"view1",#N/A,FALSE,"Cash Flows"}</definedName>
    <definedName name="wrn.div_bow." localSheetId="9" hidden="1">{"div_bow",#N/A,FALSE,"AMF"}</definedName>
    <definedName name="wrn.div_bow." hidden="1">{"div_bow",#N/A,FALSE,"AMF"}</definedName>
    <definedName name="wrn.div_pls." localSheetId="9" hidden="1">{"div_pls",#N/A,FALSE,"PL"}</definedName>
    <definedName name="wrn.div_pls." hidden="1">{"div_pls",#N/A,FALSE,"PL"}</definedName>
    <definedName name="wrn.div_rtp." localSheetId="9" hidden="1">{"div_rtp",#N/A,FALSE,"PQ"}</definedName>
    <definedName name="wrn.div_rtp." hidden="1">{"div_rtp",#N/A,FALSE,"PQ"}</definedName>
    <definedName name="wrn.divisões." localSheetId="9" hidden="1">{"divisões",#N/A,FALSE,"TOT"}</definedName>
    <definedName name="wrn.divisões." hidden="1">{"divisões",#N/A,FALSE,"TOT"}</definedName>
    <definedName name="wrn.FISV._.5._.year._.model." localSheetId="9" hidden="1">{"Assns Fax",#N/A,FALSE,"Assumptions";"Financial View",#N/A,FALSE,"Earnings";"DCF View",#N/A,FALSE,"Earnings";"Sensitivity",#N/A,FALSE,"DCF"}</definedName>
    <definedName name="wrn.FISV._.5._.year._.model." hidden="1">{"Assns Fax",#N/A,FALSE,"Assumptions";"Financial View",#N/A,FALSE,"Earnings";"DCF View",#N/A,FALSE,"Earnings";"Sensitivity",#N/A,FALSE,"DCF"}</definedName>
    <definedName name="wrn.pl_brasil." localSheetId="9" hidden="1">{"PL_Brasil",#N/A,FALSE,"PL"}</definedName>
    <definedName name="wrn.pl_brasil." hidden="1">{"PL_Brasil",#N/A,FALSE,"PL"}</definedName>
    <definedName name="wrn.portugal." localSheetId="9" hidden="1">{"portugal",#N/A,FALSE,"PL"}</definedName>
    <definedName name="wrn.portugal." hidden="1">{"portugal",#N/A,FALSE,"PL"}</definedName>
    <definedName name="wrn.pq_dr." localSheetId="9" hidden="1">{"pq_dr",#N/A,FALSE,"PQ"}</definedName>
    <definedName name="wrn.pq_dr." hidden="1">{"pq_dr",#N/A,FALSE,"PQ"}</definedName>
    <definedName name="wrn.pq_pe." localSheetId="9" hidden="1">{"pq_pe",#N/A,FALSE,"PQ"}</definedName>
    <definedName name="wrn.pq_pe." hidden="1">{"pq_pe",#N/A,FALSE,"PQ"}</definedName>
    <definedName name="wrn.pq_sp." localSheetId="9" hidden="1">{"pq_sp",#N/A,FALSE,"PQ"}</definedName>
    <definedName name="wrn.pq_sp." hidden="1">{"pq_sp",#N/A,FALSE,"PQ"}</definedName>
    <definedName name="wrn.Print._.24." localSheetId="9" hidden="1">{#N/A,#N/A,FALSE,"Index";"Stmts_Qtrs",#N/A,FALSE,"Summary";"Stmts_24 mo",#N/A,FALSE,"Summary";"Summary_24",#N/A,FALSE,"Revenue";"Month_24",#N/A,FALSE,"Engineering";"Month_24",#N/A,FALSE,"Marketing";"Month_24",#N/A,FALSE,"G &amp; A";"Month_24",#N/A,FALSE,"Manufacturing"}</definedName>
    <definedName name="wrn.Print._.24." hidden="1">{#N/A,#N/A,FALSE,"Index";"Stmts_Qtrs",#N/A,FALSE,"Summary";"Stmts_24 mo",#N/A,FALSE,"Summary";"Summary_24",#N/A,FALSE,"Revenue";"Month_24",#N/A,FALSE,"Engineering";"Month_24",#N/A,FALSE,"Marketing";"Month_24",#N/A,FALSE,"G &amp; A";"Month_24",#N/A,FALSE,"Manufacturing"}</definedName>
    <definedName name="wrn.Relatório._.1." localSheetId="9" hidden="1">{"FS`s",#N/A,TRUE,"FS's";"Icome St",#N/A,TRUE,"Income St.";"Balance Sh",#N/A,TRUE,"Balance Sh.";"Gross Margin",#N/A,TRUE,"Gross Margin"}</definedName>
    <definedName name="wrn.Relatório._.1." hidden="1">{"FS`s",#N/A,TRUE,"FS's";"Icome St",#N/A,TRUE,"Income St.";"Balance Sh",#N/A,TRUE,"Balance Sh.";"Gross Margin",#N/A,TRUE,"Gross Margin"}</definedName>
    <definedName name="wrn.Segments." localSheetId="9" hidden="1">{"view1",#N/A,FALSE,"Consolidated";"view2",#N/A,FALSE,"Consolidated (sum)";"view1",#N/A,FALSE,"Gen Sys";"view1",#N/A,FALSE,"Semicon";"view1",#N/A,FALSE,"Mess|Med";"view1",#N/A,FALSE,"Land Mob";"view1",#N/A,FALSE,"Other Prod";"view1",#N/A,FALSE,"Adj|Elim"}</definedName>
    <definedName name="wrn.Segments." hidden="1">{"view1",#N/A,FALSE,"Consolidated";"view2",#N/A,FALSE,"Consolidated (sum)";"view1",#N/A,FALSE,"Gen Sys";"view1",#N/A,FALSE,"Semicon";"view1",#N/A,FALSE,"Mess|Med";"view1",#N/A,FALSE,"Land Mob";"view1",#N/A,FALSE,"Other Prod";"view1",#N/A,FALSE,"Adj|Elim"}</definedName>
    <definedName name="wrn.Sensitivity._.Analysis." localSheetId="9" hidden="1">{"Sensitivity Tables",#N/A,FALSE,"DCF"}</definedName>
    <definedName name="wrn.Sensitivity._.Analysis." hidden="1">{"Sensitivity Tables",#N/A,FALSE,"DCF"}</definedName>
    <definedName name="wrn.sociedades." localSheetId="9" hidden="1">{"sociedades",#N/A,FALSE,"PL"}</definedName>
    <definedName name="wrn.sociedades." hidden="1">{"sociedades",#N/A,FALSE,"PL"}</definedName>
    <definedName name="wrn.Tables." localSheetId="9" hidden="1">{"view1",#N/A,FALSE,"Tables";"view2",#N/A,FALSE,"Tables";"view3",#N/A,FALSE,"Tables"}</definedName>
    <definedName name="wrn.Tables." hidden="1">{"view1",#N/A,FALSE,"Tables";"view2",#N/A,FALSE,"Tables";"view3",#N/A,FALSE,"Tables"}</definedName>
    <definedName name="wrn.tot_bow." localSheetId="9" hidden="1">{"tot_bow",#N/A,FALSE,"AMF"}</definedName>
    <definedName name="wrn.tot_bow." hidden="1">{"tot_bow",#N/A,FALSE,"AMF"}</definedName>
    <definedName name="wrn.TOT_DIVISÕES." localSheetId="9" hidden="1">{"TOT_DIVISÕES",#N/A,FALSE,"TOT"}</definedName>
    <definedName name="wrn.TOT_DIVISÕES." hidden="1">{"TOT_DIVISÕES",#N/A,FALSE,"TOT"}</definedName>
    <definedName name="wrn.tot_pls." localSheetId="9" hidden="1">{"tot_pls",#N/A,FALSE,"PL"}</definedName>
    <definedName name="wrn.tot_pls." hidden="1">{"tot_pls",#N/A,FALSE,"PL"}</definedName>
    <definedName name="wrn.tot_pqs." localSheetId="9" hidden="1">{"tot_pqs",#N/A,FALSE,"PQ"}</definedName>
    <definedName name="wrn.tot_pqs." hidden="1">{"tot_pqs",#N/A,FALSE,"PQ"}</definedName>
    <definedName name="wrn.UNISER." localSheetId="9" hidden="1">{"UNISER",#N/A,FALSE,"TOT"}</definedName>
    <definedName name="wrn.UNISER." hidden="1">{"UNISER",#N/A,FALSE,"TOT"}</definedName>
    <definedName name="x" localSheetId="9" hidden="1">{"view1",#N/A,FALSE,"EARN (US$)";"view1",#N/A,FALSE,"DASTBS (US$)";"view1",#N/A,FALSE,"DASTCF (US$)"}</definedName>
    <definedName name="x" hidden="1">{"view1",#N/A,FALSE,"EARN (US$)";"view1",#N/A,FALSE,"DASTBS (US$)";"view1",#N/A,FALSE,"DASTCF (US$)"}</definedName>
    <definedName name="z" localSheetId="9" hidden="1">{"FS`s",#N/A,TRUE,"FS's";"Icome St",#N/A,TRUE,"Income St.";"Balance Sh",#N/A,TRUE,"Balance Sh.";"Gross Margin",#N/A,TRUE,"Gross Margin"}</definedName>
    <definedName name="z" hidden="1">{"FS`s",#N/A,TRUE,"FS's";"Icome St",#N/A,TRUE,"Income St.";"Balance Sh",#N/A,TRUE,"Balance Sh.";"Gross Margin",#N/A,TRUE,"Gross Margin"}</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59" i="1" l="1"/>
  <c r="AO41" i="1"/>
  <c r="AO37" i="1"/>
  <c r="AO67" i="1"/>
  <c r="Q57" i="13"/>
  <c r="P57" i="13"/>
  <c r="O57" i="13"/>
  <c r="N57" i="13"/>
  <c r="AO5" i="2"/>
  <c r="AN5" i="2"/>
  <c r="BZ10" i="1"/>
  <c r="M55" i="13"/>
  <c r="M57" i="13"/>
  <c r="Q56" i="13"/>
  <c r="P56" i="13"/>
  <c r="O56" i="13"/>
  <c r="N56" i="13"/>
  <c r="M56" i="13"/>
  <c r="M49" i="13" s="1"/>
  <c r="M67" i="13" a="1"/>
  <c r="M67" i="13" s="1"/>
  <c r="M53" i="13"/>
  <c r="M52" i="13"/>
  <c r="M50" i="13" s="1"/>
  <c r="AS134" i="2"/>
  <c r="AR134" i="2"/>
  <c r="AQ134" i="2"/>
  <c r="AP134" i="2"/>
  <c r="BZ150" i="2"/>
  <c r="BZ129" i="2"/>
  <c r="BZ45" i="2"/>
  <c r="BZ2" i="2"/>
  <c r="BZ84" i="2" s="1"/>
  <c r="BY113" i="2"/>
  <c r="BY110" i="2"/>
  <c r="BY105" i="2"/>
  <c r="BY102" i="2"/>
  <c r="BY88" i="2"/>
  <c r="BY87" i="2"/>
  <c r="BY84" i="2"/>
  <c r="BY83" i="2"/>
  <c r="BY82" i="2"/>
  <c r="BY78" i="2"/>
  <c r="BY76" i="2"/>
  <c r="BY75" i="2"/>
  <c r="BY71" i="2"/>
  <c r="BY70" i="2"/>
  <c r="BY67" i="2"/>
  <c r="BY65" i="2"/>
  <c r="BY61" i="2"/>
  <c r="BY59" i="2"/>
  <c r="BY57" i="2"/>
  <c r="BY56" i="2"/>
  <c r="BY30" i="2"/>
  <c r="BY26" i="2"/>
  <c r="BY24" i="2"/>
  <c r="BY19" i="2"/>
  <c r="BY18" i="2"/>
  <c r="BY12" i="2"/>
  <c r="BY11" i="2"/>
  <c r="BY10" i="2"/>
  <c r="BY8" i="2"/>
  <c r="BY3" i="2"/>
  <c r="A121" i="12"/>
  <c r="B121" i="12" s="1"/>
  <c r="A120" i="12"/>
  <c r="B120" i="12" s="1"/>
  <c r="A119" i="12"/>
  <c r="B119" i="12" s="1"/>
  <c r="BZ57" i="2" l="1"/>
  <c r="BZ71" i="2"/>
  <c r="BZ75" i="2"/>
  <c r="BZ59" i="2"/>
  <c r="BZ61" i="2"/>
  <c r="BZ109" i="2"/>
  <c r="BZ140" i="2"/>
  <c r="BZ154" i="2"/>
  <c r="BZ96" i="2"/>
  <c r="BZ87" i="2"/>
  <c r="BZ82" i="2"/>
  <c r="BZ142" i="2" s="1"/>
  <c r="BZ78" i="2"/>
  <c r="BZ1" i="2"/>
  <c r="BZ55" i="2"/>
  <c r="BZ83" i="2"/>
  <c r="BZ30" i="2"/>
  <c r="BZ44" i="2"/>
  <c r="BZ70" i="2"/>
  <c r="BZ85" i="2" l="1"/>
  <c r="BZ111" i="2"/>
  <c r="BZ46" i="2"/>
  <c r="BZ10" i="2"/>
  <c r="BZ8" i="2"/>
  <c r="BZ113" i="2"/>
  <c r="BZ12" i="2"/>
  <c r="BZ26" i="2"/>
  <c r="BZ11" i="2"/>
  <c r="BZ110" i="2"/>
  <c r="BZ112" i="2" s="1"/>
  <c r="BZ19" i="2"/>
  <c r="BZ3" i="2"/>
  <c r="BZ141" i="2"/>
  <c r="BZ143" i="2" s="1"/>
  <c r="BZ124" i="2"/>
  <c r="BZ115" i="2" l="1"/>
  <c r="BZ52" i="2"/>
  <c r="BZ32" i="2"/>
  <c r="BZ119" i="2"/>
  <c r="BZ116" i="2"/>
  <c r="BZ117" i="2" s="1"/>
  <c r="BZ4" i="2"/>
  <c r="BZ33" i="2"/>
  <c r="BZ125" i="2"/>
  <c r="BZ13" i="2"/>
  <c r="BZ9" i="2"/>
  <c r="BZ58" i="2"/>
  <c r="BZ47" i="2"/>
  <c r="BZ100" i="2"/>
  <c r="BZ60" i="2"/>
  <c r="BZ147" i="2"/>
  <c r="BZ151" i="2" s="1"/>
  <c r="BZ62" i="2"/>
  <c r="BZ121" i="2" l="1"/>
  <c r="L120" i="12" l="1"/>
  <c r="L119" i="12"/>
  <c r="BZ7" i="1"/>
  <c r="BZ6" i="1"/>
  <c r="BZ41" i="1" s="1"/>
  <c r="BZ2" i="1"/>
  <c r="BZ3" i="1" s="1"/>
  <c r="BZ4" i="1" s="1"/>
  <c r="BZ1" i="1"/>
  <c r="BY81" i="1"/>
  <c r="BY71" i="1"/>
  <c r="BY18" i="1"/>
  <c r="BY17" i="1"/>
  <c r="BY11" i="1"/>
  <c r="AO17" i="1"/>
  <c r="AO81" i="1"/>
  <c r="AO82" i="1" s="1"/>
  <c r="AO76" i="1"/>
  <c r="AO74" i="1"/>
  <c r="AO71" i="1"/>
  <c r="AO73" i="1" s="1"/>
  <c r="AO49" i="1"/>
  <c r="AO48" i="1"/>
  <c r="AO47" i="1"/>
  <c r="AO50" i="1" s="1"/>
  <c r="AO46" i="1"/>
  <c r="AO45" i="1"/>
  <c r="AP45" i="1" s="1"/>
  <c r="AQ45" i="1" s="1"/>
  <c r="AR45" i="1" s="1"/>
  <c r="AS45" i="1" s="1"/>
  <c r="AO44" i="1"/>
  <c r="AO40" i="1"/>
  <c r="AO39" i="1"/>
  <c r="AO11" i="1"/>
  <c r="AO14" i="1" s="1"/>
  <c r="AO9" i="1"/>
  <c r="AP9" i="1" s="1"/>
  <c r="AQ9" i="1" s="1"/>
  <c r="AR9" i="1" s="1"/>
  <c r="AS9" i="1" s="1"/>
  <c r="AO8" i="1"/>
  <c r="AV27" i="2"/>
  <c r="AV17" i="2"/>
  <c r="AV16" i="2"/>
  <c r="AV8" i="2"/>
  <c r="AV7" i="2"/>
  <c r="AV6" i="2"/>
  <c r="AV3" i="2"/>
  <c r="AO154" i="2"/>
  <c r="AO150" i="2"/>
  <c r="AO148" i="2"/>
  <c r="AO152" i="2" s="1"/>
  <c r="AP152" i="2" s="1"/>
  <c r="AO144" i="2"/>
  <c r="AO142" i="2"/>
  <c r="AO143" i="2" s="1"/>
  <c r="AO141" i="2"/>
  <c r="AO140" i="2"/>
  <c r="AO137" i="2"/>
  <c r="AO136" i="2"/>
  <c r="AO133" i="2"/>
  <c r="AO138" i="2" s="1"/>
  <c r="AO130" i="2"/>
  <c r="AO129" i="2"/>
  <c r="AO124" i="2"/>
  <c r="AO125" i="2" s="1"/>
  <c r="AO126" i="2" s="1"/>
  <c r="AO111" i="2"/>
  <c r="AO112" i="2" s="1"/>
  <c r="AO116" i="2"/>
  <c r="AO115" i="2"/>
  <c r="AO113" i="2"/>
  <c r="AS113" i="2" s="1"/>
  <c r="AO110" i="2"/>
  <c r="AO105" i="2"/>
  <c r="AO104" i="2" s="1"/>
  <c r="AO106" i="2"/>
  <c r="AO100" i="2"/>
  <c r="AO98" i="2"/>
  <c r="AO102" i="2"/>
  <c r="AO66" i="2"/>
  <c r="AS66" i="2" s="1"/>
  <c r="AO65" i="2"/>
  <c r="AO90" i="2"/>
  <c r="AO87" i="2"/>
  <c r="AP87" i="2" s="1"/>
  <c r="AQ87" i="2" s="1"/>
  <c r="AR87" i="2" s="1"/>
  <c r="AS87" i="2" s="1"/>
  <c r="AO84" i="2"/>
  <c r="AP84" i="2" s="1"/>
  <c r="AQ84" i="2" s="1"/>
  <c r="AR84" i="2" s="1"/>
  <c r="AO83" i="2"/>
  <c r="AO78" i="2"/>
  <c r="AO58" i="2"/>
  <c r="AP58" i="2" s="1"/>
  <c r="AQ58" i="2" s="1"/>
  <c r="AR58" i="2" s="1"/>
  <c r="AS58" i="2" s="1"/>
  <c r="AO61" i="2"/>
  <c r="AO62" i="2" s="1"/>
  <c r="AP62" i="2" s="1"/>
  <c r="AQ62" i="2" s="1"/>
  <c r="AO60" i="2"/>
  <c r="AP60" i="2" s="1"/>
  <c r="AO42" i="2"/>
  <c r="AO33" i="2"/>
  <c r="AO32" i="2"/>
  <c r="AO8" i="2"/>
  <c r="AP154" i="2"/>
  <c r="AS150" i="2"/>
  <c r="AR150" i="2"/>
  <c r="AQ150" i="2"/>
  <c r="AP150" i="2"/>
  <c r="AP140" i="2"/>
  <c r="AR113" i="2"/>
  <c r="AQ113" i="2"/>
  <c r="AP113" i="2"/>
  <c r="AS111" i="2"/>
  <c r="AR111" i="2"/>
  <c r="AQ111" i="2"/>
  <c r="AP111" i="2"/>
  <c r="AP30" i="2" s="1"/>
  <c r="AS100" i="2"/>
  <c r="AR100" i="2"/>
  <c r="AQ100" i="2"/>
  <c r="AP100" i="2"/>
  <c r="AP83" i="2"/>
  <c r="AQ83" i="2" s="1"/>
  <c r="AR83" i="2" s="1"/>
  <c r="AS83" i="2" s="1"/>
  <c r="AR66" i="2"/>
  <c r="AQ66" i="2"/>
  <c r="AP66" i="2"/>
  <c r="AP44" i="2"/>
  <c r="AP2" i="2"/>
  <c r="AQ2" i="2" s="1"/>
  <c r="AR74" i="1"/>
  <c r="AS71" i="1"/>
  <c r="AS8" i="2" s="1"/>
  <c r="AR71" i="1"/>
  <c r="AR8" i="2" s="1"/>
  <c r="AQ71" i="1"/>
  <c r="AQ8" i="2" s="1"/>
  <c r="AP71" i="1"/>
  <c r="AQ74" i="1" s="1"/>
  <c r="AP49" i="1"/>
  <c r="AQ49" i="1" s="1"/>
  <c r="AR49" i="1" s="1"/>
  <c r="AS49" i="1" s="1"/>
  <c r="AP48" i="1"/>
  <c r="AQ48" i="1" s="1"/>
  <c r="AR48" i="1" s="1"/>
  <c r="AS48" i="1" s="1"/>
  <c r="AQ44" i="1"/>
  <c r="AP44" i="1"/>
  <c r="AR40" i="1"/>
  <c r="AQ40" i="1"/>
  <c r="AP40" i="1"/>
  <c r="AR39" i="1"/>
  <c r="AQ39" i="1"/>
  <c r="AP39" i="1"/>
  <c r="AS19" i="1"/>
  <c r="AR19" i="1"/>
  <c r="AR12" i="1" s="1"/>
  <c r="AR11" i="1" s="1"/>
  <c r="AR3" i="2" s="1"/>
  <c r="AQ19" i="1"/>
  <c r="AQ12" i="1" s="1"/>
  <c r="AQ11" i="1" s="1"/>
  <c r="AQ3" i="2" s="1"/>
  <c r="AP19" i="1"/>
  <c r="AP12" i="1" s="1"/>
  <c r="AP11" i="1" s="1"/>
  <c r="AS12" i="1"/>
  <c r="AS11" i="1" s="1"/>
  <c r="AS14" i="1" s="1"/>
  <c r="AS7" i="1"/>
  <c r="AR7" i="1"/>
  <c r="AQ7" i="1"/>
  <c r="AP7" i="1"/>
  <c r="AS6" i="1"/>
  <c r="AS41" i="1" s="1"/>
  <c r="AR6" i="1"/>
  <c r="AR41" i="1" s="1"/>
  <c r="AQ6" i="1"/>
  <c r="AQ41" i="1" s="1"/>
  <c r="AP6" i="1"/>
  <c r="AP41" i="1" s="1"/>
  <c r="AR5" i="1"/>
  <c r="AQ5" i="1"/>
  <c r="AP5" i="1"/>
  <c r="AR4" i="1"/>
  <c r="AQ4" i="1"/>
  <c r="AP4" i="1"/>
  <c r="AS3" i="1"/>
  <c r="AS5" i="1" s="1"/>
  <c r="AR3" i="1"/>
  <c r="AQ3" i="1"/>
  <c r="AP3" i="1"/>
  <c r="AS2" i="1"/>
  <c r="AR2" i="1"/>
  <c r="AQ2" i="1"/>
  <c r="AP2" i="1"/>
  <c r="AQ1" i="1"/>
  <c r="AQ8" i="1" s="1"/>
  <c r="AP1" i="1"/>
  <c r="AP8" i="1" s="1"/>
  <c r="AR9" i="2" l="1"/>
  <c r="AS9" i="2"/>
  <c r="AP74" i="1"/>
  <c r="AP8" i="2"/>
  <c r="BZ71" i="1"/>
  <c r="BZ8" i="1"/>
  <c r="BZ11" i="1"/>
  <c r="BZ12" i="1" s="1"/>
  <c r="BZ14" i="1" s="1"/>
  <c r="BZ40" i="1"/>
  <c r="AO19" i="1"/>
  <c r="AR72" i="1"/>
  <c r="AQ72" i="1"/>
  <c r="AP13" i="1"/>
  <c r="AP3" i="2"/>
  <c r="AP72" i="1"/>
  <c r="AQ13" i="1"/>
  <c r="AP59" i="2"/>
  <c r="AP46" i="1"/>
  <c r="AQ46" i="1"/>
  <c r="AO72" i="1"/>
  <c r="AS3" i="2"/>
  <c r="AS57" i="2"/>
  <c r="AS72" i="1"/>
  <c r="AO12" i="1"/>
  <c r="AO13" i="1"/>
  <c r="AS13" i="1"/>
  <c r="AO99" i="2"/>
  <c r="AO93" i="2"/>
  <c r="AO147" i="2"/>
  <c r="AO151" i="2" s="1"/>
  <c r="AP143" i="2"/>
  <c r="AP141" i="2" s="1"/>
  <c r="AO145" i="2"/>
  <c r="AO134" i="2"/>
  <c r="AP148" i="2"/>
  <c r="AO135" i="2"/>
  <c r="AQ30" i="2"/>
  <c r="AP116" i="2"/>
  <c r="AP32" i="2"/>
  <c r="AR62" i="2"/>
  <c r="AQ61" i="2"/>
  <c r="AR2" i="2"/>
  <c r="AQ109" i="2"/>
  <c r="AQ96" i="2"/>
  <c r="AQ55" i="2"/>
  <c r="AQ1" i="2"/>
  <c r="AQ154" i="2"/>
  <c r="AQ140" i="2"/>
  <c r="AQ44" i="2"/>
  <c r="AQ57" i="2"/>
  <c r="AQ60" i="2"/>
  <c r="AR57" i="2"/>
  <c r="AP57" i="2"/>
  <c r="AP1" i="2"/>
  <c r="AP4" i="2"/>
  <c r="AP13" i="2"/>
  <c r="AP33" i="2"/>
  <c r="AP55" i="2"/>
  <c r="AP61" i="2"/>
  <c r="AQ4" i="2"/>
  <c r="AQ13" i="2"/>
  <c r="AQ33" i="2"/>
  <c r="AR4" i="2"/>
  <c r="AR13" i="2"/>
  <c r="AR33" i="2"/>
  <c r="AS4" i="2"/>
  <c r="AS13" i="2"/>
  <c r="AS33" i="2"/>
  <c r="AS84" i="2"/>
  <c r="AP78" i="2"/>
  <c r="AP96" i="2"/>
  <c r="AP109" i="2"/>
  <c r="AQ78" i="2"/>
  <c r="AQ152" i="2"/>
  <c r="AQ148" i="2" s="1"/>
  <c r="AR78" i="2"/>
  <c r="AP14" i="1"/>
  <c r="AP47" i="1"/>
  <c r="AP50" i="1" s="1"/>
  <c r="AQ14" i="1"/>
  <c r="AS4" i="1"/>
  <c r="AS39" i="1"/>
  <c r="AS74" i="1"/>
  <c r="AQ47" i="1"/>
  <c r="AQ50" i="1" s="1"/>
  <c r="AR1" i="1"/>
  <c r="AR14" i="1"/>
  <c r="AR44" i="1"/>
  <c r="AS40" i="1"/>
  <c r="AR13" i="1"/>
  <c r="AQ9" i="2" l="1"/>
  <c r="AP9" i="2"/>
  <c r="BZ17" i="1"/>
  <c r="BZ18" i="1"/>
  <c r="BZ73" i="1"/>
  <c r="BZ72" i="1"/>
  <c r="AP133" i="2"/>
  <c r="AQ133" i="2"/>
  <c r="AQ105" i="2" s="1"/>
  <c r="AQ106" i="2" s="1"/>
  <c r="AP151" i="2"/>
  <c r="AP147" i="2" s="1"/>
  <c r="AP19" i="2" s="1"/>
  <c r="AQ143" i="2"/>
  <c r="AQ59" i="2"/>
  <c r="AR60" i="2"/>
  <c r="AR152" i="2"/>
  <c r="AR148" i="2" s="1"/>
  <c r="AP75" i="2"/>
  <c r="AQ141" i="2"/>
  <c r="AS2" i="2"/>
  <c r="AR109" i="2"/>
  <c r="AR96" i="2"/>
  <c r="AR55" i="2"/>
  <c r="AR1" i="2"/>
  <c r="AR154" i="2"/>
  <c r="AR140" i="2"/>
  <c r="AR44" i="2"/>
  <c r="AR30" i="2"/>
  <c r="AQ116" i="2"/>
  <c r="AQ32" i="2"/>
  <c r="AS62" i="2"/>
  <c r="AS61" i="2" s="1"/>
  <c r="AR61" i="2"/>
  <c r="AS133" i="2"/>
  <c r="AR133" i="2"/>
  <c r="AP142" i="2"/>
  <c r="AP82" i="2" s="1"/>
  <c r="AP85" i="2" s="1"/>
  <c r="AR143" i="2"/>
  <c r="AR46" i="1"/>
  <c r="AR47" i="1"/>
  <c r="AR50" i="1" s="1"/>
  <c r="AS44" i="1"/>
  <c r="AR8" i="1"/>
  <c r="AS1" i="1"/>
  <c r="AS8" i="1" s="1"/>
  <c r="AP105" i="2" l="1"/>
  <c r="BZ105" i="2" s="1"/>
  <c r="BZ39" i="1"/>
  <c r="BZ19" i="1"/>
  <c r="AQ151" i="2"/>
  <c r="AR151" i="2" s="1"/>
  <c r="AR147" i="2" s="1"/>
  <c r="AR19" i="2" s="1"/>
  <c r="AR59" i="2"/>
  <c r="AS60" i="2"/>
  <c r="AS59" i="2" s="1"/>
  <c r="AS152" i="2"/>
  <c r="AS148" i="2" s="1"/>
  <c r="AP124" i="2"/>
  <c r="AP125" i="2" s="1"/>
  <c r="AS30" i="2"/>
  <c r="AR116" i="2"/>
  <c r="AR32" i="2"/>
  <c r="AS109" i="2"/>
  <c r="AS96" i="2"/>
  <c r="AS55" i="2"/>
  <c r="AS1" i="2"/>
  <c r="AS154" i="2"/>
  <c r="AS140" i="2"/>
  <c r="AS44" i="2"/>
  <c r="AS143" i="2"/>
  <c r="AR105" i="2"/>
  <c r="AR106" i="2" s="1"/>
  <c r="AS105" i="2"/>
  <c r="AS106" i="2" s="1"/>
  <c r="AQ75" i="2"/>
  <c r="AR141" i="2"/>
  <c r="AR142" i="2" s="1"/>
  <c r="AR82" i="2" s="1"/>
  <c r="AR85" i="2" s="1"/>
  <c r="AQ142" i="2"/>
  <c r="AQ82" i="2" s="1"/>
  <c r="AQ85" i="2" s="1"/>
  <c r="AS46" i="1"/>
  <c r="AS47" i="1"/>
  <c r="AS50" i="1" s="1"/>
  <c r="AP106" i="2" l="1"/>
  <c r="BZ106" i="2"/>
  <c r="BZ133" i="2"/>
  <c r="AS151" i="2"/>
  <c r="AS147" i="2" s="1"/>
  <c r="AS19" i="2" s="1"/>
  <c r="AQ147" i="2"/>
  <c r="AQ19" i="2" s="1"/>
  <c r="AR75" i="2"/>
  <c r="AS141" i="2"/>
  <c r="AS75" i="2" s="1"/>
  <c r="AQ124" i="2"/>
  <c r="AQ125" i="2" s="1"/>
  <c r="AS142" i="2"/>
  <c r="AS82" i="2" s="1"/>
  <c r="AS85" i="2" s="1"/>
  <c r="AS32" i="2"/>
  <c r="AS116" i="2"/>
  <c r="BZ175" i="2" l="1"/>
  <c r="BZ134" i="2"/>
  <c r="BZ138" i="2"/>
  <c r="AS124" i="2"/>
  <c r="AS125" i="2" s="1"/>
  <c r="AR124" i="2"/>
  <c r="AR125" i="2" s="1"/>
  <c r="AN78" i="2" l="1"/>
  <c r="AN61" i="2"/>
  <c r="AN62" i="2" s="1"/>
  <c r="AN60" i="2"/>
  <c r="AN58" i="2"/>
  <c r="AM61" i="2"/>
  <c r="AM62" i="2" s="1"/>
  <c r="AM60" i="2"/>
  <c r="AM58" i="2"/>
  <c r="AN150" i="2"/>
  <c r="AM150" i="2"/>
  <c r="AN111" i="2"/>
  <c r="AM111" i="2"/>
  <c r="AM110" i="2"/>
  <c r="AM113" i="2"/>
  <c r="AM116" i="2" s="1"/>
  <c r="AN100" i="2"/>
  <c r="AM100" i="2"/>
  <c r="AM106" i="2"/>
  <c r="AN106" i="2" s="1"/>
  <c r="AM102" i="2"/>
  <c r="AN102" i="2" s="1"/>
  <c r="AM105" i="2"/>
  <c r="AM133" i="2" s="1"/>
  <c r="AM134" i="2" s="1"/>
  <c r="AN8" i="2"/>
  <c r="AN33" i="2"/>
  <c r="AM33" i="2"/>
  <c r="AN7" i="1"/>
  <c r="AN6" i="1"/>
  <c r="AN3" i="1"/>
  <c r="AN2" i="1"/>
  <c r="AN77" i="2"/>
  <c r="AN76" i="1"/>
  <c r="AN11"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F76" i="1"/>
  <c r="E76" i="1"/>
  <c r="D76" i="1"/>
  <c r="C76" i="1"/>
  <c r="B76" i="1"/>
  <c r="AM76" i="1"/>
  <c r="AM65" i="2"/>
  <c r="AM5" i="2"/>
  <c r="AM77" i="2" s="1"/>
  <c r="AM11" i="1"/>
  <c r="AM8" i="2"/>
  <c r="AN79" i="2"/>
  <c r="G19" i="16"/>
  <c r="G18" i="16"/>
  <c r="G13" i="16"/>
  <c r="Q24" i="16"/>
  <c r="R24" i="16"/>
  <c r="R27" i="16"/>
  <c r="Q27" i="16"/>
  <c r="D15" i="16"/>
  <c r="E15" i="16"/>
  <c r="F15" i="16"/>
  <c r="G15" i="16"/>
  <c r="R11" i="16"/>
  <c r="Q11" i="16"/>
  <c r="P11" i="16"/>
  <c r="O11" i="16"/>
  <c r="N11" i="16"/>
  <c r="D8" i="16"/>
  <c r="E8" i="16"/>
  <c r="F8" i="16"/>
  <c r="G8" i="16"/>
  <c r="N3" i="16"/>
  <c r="O3" i="16"/>
  <c r="P3" i="16"/>
  <c r="Q3" i="16"/>
  <c r="R3" i="16"/>
  <c r="G2" i="16"/>
  <c r="D2" i="16"/>
  <c r="E2" i="16"/>
  <c r="L118" i="12"/>
  <c r="A118" i="12"/>
  <c r="J118" i="12" s="1"/>
  <c r="L117" i="12"/>
  <c r="A117" i="12"/>
  <c r="J117" i="12"/>
  <c r="B117" i="12"/>
  <c r="K117" i="12" s="1"/>
  <c r="AJ47" i="1"/>
  <c r="AI47" i="1"/>
  <c r="AH47" i="1"/>
  <c r="AG47" i="1"/>
  <c r="AF47" i="1"/>
  <c r="AE47" i="1"/>
  <c r="AD47" i="1"/>
  <c r="AC47" i="1"/>
  <c r="AB47" i="1"/>
  <c r="AA47" i="1"/>
  <c r="Z47" i="1"/>
  <c r="Y47" i="1"/>
  <c r="X47" i="1"/>
  <c r="W47" i="1"/>
  <c r="V47" i="1"/>
  <c r="V50" i="1" s="1"/>
  <c r="V46" i="1"/>
  <c r="AL7" i="1"/>
  <c r="AL6" i="1"/>
  <c r="AL3" i="1"/>
  <c r="AL2" i="1"/>
  <c r="AL81" i="1"/>
  <c r="AL11" i="1"/>
  <c r="AM13" i="1" s="1"/>
  <c r="AL150" i="2"/>
  <c r="AL148" i="2"/>
  <c r="AL144" i="2"/>
  <c r="AL142" i="2"/>
  <c r="AL141" i="2"/>
  <c r="AL136" i="2"/>
  <c r="AL133" i="2"/>
  <c r="AL130" i="2"/>
  <c r="AM129" i="2" s="1"/>
  <c r="AL124" i="2"/>
  <c r="AL125" i="2"/>
  <c r="AL126" i="2" s="1"/>
  <c r="AL116" i="2"/>
  <c r="AL115" i="2"/>
  <c r="AL100" i="2"/>
  <c r="AL60" i="2"/>
  <c r="AL58" i="2"/>
  <c r="AL33" i="2"/>
  <c r="AL32" i="2"/>
  <c r="AL8" i="2"/>
  <c r="AL71" i="1" s="1"/>
  <c r="AL7" i="2"/>
  <c r="AL5" i="2"/>
  <c r="AK150" i="2"/>
  <c r="AK148" i="2"/>
  <c r="AK144" i="2"/>
  <c r="AK142" i="2"/>
  <c r="AK143" i="2" s="1"/>
  <c r="AK145" i="2" s="1"/>
  <c r="AK141" i="2"/>
  <c r="AK136" i="2"/>
  <c r="AK130" i="2"/>
  <c r="AL129" i="2" s="1"/>
  <c r="AK124" i="2"/>
  <c r="AK100" i="2"/>
  <c r="AK90" i="2"/>
  <c r="AK78" i="2"/>
  <c r="AK71" i="2"/>
  <c r="AL66" i="2" s="1"/>
  <c r="AK58" i="2"/>
  <c r="AK60" i="2"/>
  <c r="AK61" i="2"/>
  <c r="AK30" i="2"/>
  <c r="AL111" i="2" s="1"/>
  <c r="AL112" i="2" s="1"/>
  <c r="EM28" i="11"/>
  <c r="EL28" i="11"/>
  <c r="EK28" i="11"/>
  <c r="CU28" i="11" s="1"/>
  <c r="EJ28" i="11"/>
  <c r="CR28" i="11" s="1"/>
  <c r="EI28" i="11"/>
  <c r="EH28" i="11"/>
  <c r="CM28" i="11" s="1"/>
  <c r="EG28" i="11"/>
  <c r="CJ28" i="11" s="1"/>
  <c r="EF28" i="11"/>
  <c r="CF28" i="11" s="1"/>
  <c r="EE28" i="11"/>
  <c r="CD28" i="11" s="1"/>
  <c r="ED28" i="11"/>
  <c r="EC28" i="11"/>
  <c r="BX28" i="11" s="1"/>
  <c r="EB28" i="11"/>
  <c r="BU28" i="11" s="1"/>
  <c r="EA28" i="11"/>
  <c r="BR28" i="11" s="1"/>
  <c r="DZ28" i="11"/>
  <c r="BM28" i="11" s="1"/>
  <c r="DY28" i="11"/>
  <c r="BL28" i="11" s="1"/>
  <c r="DX28" i="11"/>
  <c r="DW28" i="11"/>
  <c r="DV28" i="11"/>
  <c r="BB28" i="11" s="1"/>
  <c r="DU28" i="11"/>
  <c r="AZ28" i="11" s="1"/>
  <c r="DT28" i="11"/>
  <c r="AW28" i="11" s="1"/>
  <c r="DS28" i="11"/>
  <c r="AT28" i="11" s="1"/>
  <c r="DR28" i="11"/>
  <c r="DQ28" i="11"/>
  <c r="AN28" i="11" s="1"/>
  <c r="DP28" i="11"/>
  <c r="AK28" i="11" s="1"/>
  <c r="DO28" i="11"/>
  <c r="AH28" i="11" s="1"/>
  <c r="DN28" i="11"/>
  <c r="DM28" i="11"/>
  <c r="AB28" i="11" s="1"/>
  <c r="DL28" i="11"/>
  <c r="DK28" i="11"/>
  <c r="DJ28" i="11"/>
  <c r="DJ27" i="11" s="1"/>
  <c r="DI28" i="11"/>
  <c r="P28" i="11" s="1"/>
  <c r="P27" i="11" s="1"/>
  <c r="AB27" i="11" s="1"/>
  <c r="CV28" i="11"/>
  <c r="CP28" i="11"/>
  <c r="CO28" i="11"/>
  <c r="CN28" i="11"/>
  <c r="CE28" i="11"/>
  <c r="BV28" i="11"/>
  <c r="BO28" i="11"/>
  <c r="BN28" i="11"/>
  <c r="BI28" i="11"/>
  <c r="BH28" i="11"/>
  <c r="BG28" i="11"/>
  <c r="BF28" i="11"/>
  <c r="BE28" i="11"/>
  <c r="BD28" i="11"/>
  <c r="BC28" i="11"/>
  <c r="BA28" i="11"/>
  <c r="AF28" i="11"/>
  <c r="AE28" i="11"/>
  <c r="AD28" i="11"/>
  <c r="AC28" i="11"/>
  <c r="Y28" i="11"/>
  <c r="X28" i="11"/>
  <c r="X27" i="11" s="1"/>
  <c r="W28" i="11"/>
  <c r="W27" i="11" s="1"/>
  <c r="V28" i="11"/>
  <c r="V27" i="11" s="1"/>
  <c r="U28" i="11"/>
  <c r="U27" i="11" s="1"/>
  <c r="T28" i="11"/>
  <c r="T27" i="11" s="1"/>
  <c r="S28" i="11"/>
  <c r="S27" i="11" s="1"/>
  <c r="R28" i="11"/>
  <c r="R27" i="11" s="1"/>
  <c r="Q28" i="11"/>
  <c r="Q27" i="11" s="1"/>
  <c r="AC27" i="11" s="1"/>
  <c r="DL27" i="11"/>
  <c r="DK27" i="11"/>
  <c r="Y27" i="11"/>
  <c r="EN24" i="11"/>
  <c r="EM24" i="11"/>
  <c r="EL24" i="11"/>
  <c r="EK24" i="11"/>
  <c r="EJ24" i="11"/>
  <c r="EI24" i="11"/>
  <c r="EH24" i="11"/>
  <c r="EG24" i="11"/>
  <c r="EF24" i="11"/>
  <c r="EE24" i="11"/>
  <c r="ED24" i="11"/>
  <c r="EC24" i="11"/>
  <c r="EB24" i="11"/>
  <c r="EA24" i="11"/>
  <c r="DZ24" i="11"/>
  <c r="DY24" i="11"/>
  <c r="DX24" i="11"/>
  <c r="DW24" i="11"/>
  <c r="DV24" i="11"/>
  <c r="DU24" i="11"/>
  <c r="DT24" i="11"/>
  <c r="DS24" i="11"/>
  <c r="DR24" i="11"/>
  <c r="DQ24" i="11"/>
  <c r="DP24" i="11"/>
  <c r="DO24" i="11"/>
  <c r="DN24" i="11"/>
  <c r="DM24" i="11"/>
  <c r="DL24" i="11"/>
  <c r="DK24" i="11"/>
  <c r="DJ24" i="11"/>
  <c r="DI24" i="11"/>
  <c r="CX24" i="11"/>
  <c r="CW24" i="11"/>
  <c r="CV24" i="11"/>
  <c r="CU24" i="11"/>
  <c r="CT24" i="11"/>
  <c r="CS24" i="11"/>
  <c r="CR24" i="11"/>
  <c r="CQ24" i="11"/>
  <c r="CP24" i="11"/>
  <c r="CO24" i="11"/>
  <c r="CN24" i="11"/>
  <c r="CM24" i="11"/>
  <c r="CL24" i="11"/>
  <c r="CK24" i="11"/>
  <c r="CJ24" i="11"/>
  <c r="CI24" i="11"/>
  <c r="CH24" i="11"/>
  <c r="CG24" i="11"/>
  <c r="CF24" i="11"/>
  <c r="CE24" i="11"/>
  <c r="CD24" i="11"/>
  <c r="CC24" i="11"/>
  <c r="CB24" i="11"/>
  <c r="CA24" i="11"/>
  <c r="BZ24" i="11"/>
  <c r="BY24" i="11"/>
  <c r="BX24" i="11"/>
  <c r="BW24" i="11"/>
  <c r="BV24" i="11"/>
  <c r="BU24" i="11"/>
  <c r="BT24" i="11"/>
  <c r="BS24" i="11"/>
  <c r="BR24" i="11"/>
  <c r="BQ24" i="11"/>
  <c r="BP24" i="11"/>
  <c r="BO24" i="11"/>
  <c r="BN24" i="11"/>
  <c r="BM24" i="11"/>
  <c r="BL24" i="11"/>
  <c r="BK24" i="11"/>
  <c r="BJ24" i="11"/>
  <c r="BI24" i="11"/>
  <c r="BH24" i="11"/>
  <c r="BG24" i="11"/>
  <c r="BF24" i="11"/>
  <c r="BE24" i="11"/>
  <c r="BD24" i="11"/>
  <c r="BC24" i="11"/>
  <c r="BB24" i="11"/>
  <c r="BA24" i="11"/>
  <c r="AZ24" i="11"/>
  <c r="AY24" i="11"/>
  <c r="AX24" i="11"/>
  <c r="AW24" i="11"/>
  <c r="AV24" i="11"/>
  <c r="AU24" i="11"/>
  <c r="AT24" i="11"/>
  <c r="AS24" i="11"/>
  <c r="AR24" i="11"/>
  <c r="AQ24" i="11"/>
  <c r="AP24" i="11"/>
  <c r="AO24" i="11"/>
  <c r="AN24" i="11"/>
  <c r="AM24" i="11"/>
  <c r="AL24" i="11"/>
  <c r="AK24" i="11"/>
  <c r="AJ24" i="11"/>
  <c r="AI24" i="11"/>
  <c r="AH24" i="11"/>
  <c r="AG24" i="11"/>
  <c r="AF24" i="11"/>
  <c r="AE24" i="11"/>
  <c r="AD24" i="11"/>
  <c r="AC24" i="11"/>
  <c r="AB24" i="11"/>
  <c r="AA24" i="11"/>
  <c r="Z24" i="11"/>
  <c r="Y24" i="11"/>
  <c r="X24" i="11"/>
  <c r="W24" i="11"/>
  <c r="V24" i="11"/>
  <c r="U24" i="11"/>
  <c r="T24" i="11"/>
  <c r="S24" i="11"/>
  <c r="R24" i="11"/>
  <c r="Q24" i="11"/>
  <c r="P24" i="11"/>
  <c r="O24" i="11"/>
  <c r="N24" i="11"/>
  <c r="EN23" i="11"/>
  <c r="EM23" i="11"/>
  <c r="EL23" i="11"/>
  <c r="EK23" i="11"/>
  <c r="EJ23" i="11"/>
  <c r="EI23" i="11"/>
  <c r="EH23" i="11"/>
  <c r="EG23" i="11"/>
  <c r="EF23" i="11"/>
  <c r="EE23" i="11"/>
  <c r="ED23" i="11"/>
  <c r="EC23" i="11"/>
  <c r="EB23" i="11"/>
  <c r="EA23" i="11"/>
  <c r="DZ23" i="11"/>
  <c r="DY23" i="11"/>
  <c r="DX23" i="11"/>
  <c r="DW23" i="11"/>
  <c r="DV23" i="11"/>
  <c r="DU23" i="11"/>
  <c r="DT23" i="11"/>
  <c r="DS23" i="11"/>
  <c r="DR23" i="11"/>
  <c r="DQ23" i="11"/>
  <c r="DP23" i="11"/>
  <c r="DO23" i="11"/>
  <c r="DN23" i="11"/>
  <c r="DM23" i="11"/>
  <c r="DL23" i="11"/>
  <c r="DK23" i="11"/>
  <c r="DJ23" i="11"/>
  <c r="DI23" i="11"/>
  <c r="CX23" i="11"/>
  <c r="CW23" i="11"/>
  <c r="CV23" i="11"/>
  <c r="CU23" i="11"/>
  <c r="CT23" i="11"/>
  <c r="CS23" i="11"/>
  <c r="CR23" i="11"/>
  <c r="CQ23" i="11"/>
  <c r="CP23" i="11"/>
  <c r="CO23" i="11"/>
  <c r="CN23" i="11"/>
  <c r="CM23" i="11"/>
  <c r="CL23" i="11"/>
  <c r="CK23" i="11"/>
  <c r="CJ23" i="11"/>
  <c r="CI23" i="11"/>
  <c r="CH23" i="11"/>
  <c r="CG23" i="11"/>
  <c r="CF23" i="11"/>
  <c r="CE23" i="11"/>
  <c r="CD23" i="11"/>
  <c r="CC23" i="11"/>
  <c r="CB23" i="11"/>
  <c r="CA23" i="11"/>
  <c r="BZ23" i="11"/>
  <c r="BY23" i="11"/>
  <c r="BX23" i="11"/>
  <c r="BW23" i="11"/>
  <c r="BV23" i="11"/>
  <c r="BU23" i="11"/>
  <c r="BT23" i="11"/>
  <c r="BS23" i="11"/>
  <c r="BR23" i="11"/>
  <c r="BQ23" i="11"/>
  <c r="BP23" i="11"/>
  <c r="BO23" i="11"/>
  <c r="BN23" i="11"/>
  <c r="BM23" i="11"/>
  <c r="BL23" i="11"/>
  <c r="BK23" i="11"/>
  <c r="BJ23" i="11"/>
  <c r="BI23" i="11"/>
  <c r="BH23" i="11"/>
  <c r="BG23" i="11"/>
  <c r="BF23" i="11"/>
  <c r="BE23" i="11"/>
  <c r="BD23" i="11"/>
  <c r="BC23" i="11"/>
  <c r="BB23" i="11"/>
  <c r="BA23" i="11"/>
  <c r="AZ23" i="11"/>
  <c r="AY23" i="11"/>
  <c r="AX23"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N23" i="11"/>
  <c r="EN22" i="11"/>
  <c r="EM22" i="11"/>
  <c r="EL22" i="11"/>
  <c r="EK22" i="11"/>
  <c r="EJ22" i="11"/>
  <c r="EI22" i="11"/>
  <c r="EH22" i="11"/>
  <c r="EG22" i="11"/>
  <c r="EF22" i="11"/>
  <c r="EE22" i="11"/>
  <c r="ED22" i="11"/>
  <c r="EC22" i="11"/>
  <c r="EB22" i="11"/>
  <c r="EA22" i="11"/>
  <c r="DZ22" i="11"/>
  <c r="DY22" i="11"/>
  <c r="DX22" i="11"/>
  <c r="DW22" i="11"/>
  <c r="DV22" i="11"/>
  <c r="DU22" i="11"/>
  <c r="DT22" i="11"/>
  <c r="DS22" i="11"/>
  <c r="DR22" i="11"/>
  <c r="DQ22" i="11"/>
  <c r="DP22" i="11"/>
  <c r="DO22" i="11"/>
  <c r="DN22" i="11"/>
  <c r="DM22" i="11"/>
  <c r="DL22" i="11"/>
  <c r="DK22" i="11"/>
  <c r="DJ22" i="11"/>
  <c r="DI22" i="11"/>
  <c r="CX22" i="11"/>
  <c r="CW22" i="11"/>
  <c r="CV22" i="11"/>
  <c r="CU22" i="11"/>
  <c r="CT22" i="11"/>
  <c r="CS22" i="11"/>
  <c r="CR22" i="11"/>
  <c r="CQ22" i="11"/>
  <c r="CP22" i="11"/>
  <c r="CO22" i="11"/>
  <c r="CN22" i="11"/>
  <c r="CM22" i="11"/>
  <c r="CL22" i="11"/>
  <c r="CK22" i="11"/>
  <c r="CJ22" i="11"/>
  <c r="CI22" i="11"/>
  <c r="CH22" i="11"/>
  <c r="CG22" i="11"/>
  <c r="CF22" i="11"/>
  <c r="CE22" i="11"/>
  <c r="CD22" i="11"/>
  <c r="CC22" i="11"/>
  <c r="CB22" i="11"/>
  <c r="CA22" i="11"/>
  <c r="BZ22" i="11"/>
  <c r="BY22" i="11"/>
  <c r="BX22" i="11"/>
  <c r="BW22" i="11"/>
  <c r="BV22" i="11"/>
  <c r="BU22" i="11"/>
  <c r="BT22" i="11"/>
  <c r="BS22" i="11"/>
  <c r="BR22" i="11"/>
  <c r="BQ22" i="11"/>
  <c r="BP22" i="11"/>
  <c r="BO22" i="11"/>
  <c r="BN22" i="11"/>
  <c r="BM22" i="11"/>
  <c r="BL22" i="11"/>
  <c r="BK22" i="11"/>
  <c r="BJ22" i="11"/>
  <c r="BI22" i="11"/>
  <c r="BH22" i="11"/>
  <c r="BG22" i="11"/>
  <c r="BF22" i="11"/>
  <c r="BE22" i="11"/>
  <c r="BD22" i="11"/>
  <c r="BC22" i="11"/>
  <c r="BB22" i="11"/>
  <c r="BA22" i="11"/>
  <c r="AZ22" i="11"/>
  <c r="AY22"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EN21" i="11"/>
  <c r="EM21" i="11"/>
  <c r="EL21" i="11"/>
  <c r="EK21" i="11"/>
  <c r="EJ21" i="11"/>
  <c r="EI21" i="11"/>
  <c r="EH21" i="11"/>
  <c r="EG21" i="11"/>
  <c r="EF21" i="11"/>
  <c r="EE21" i="11"/>
  <c r="ED21" i="11"/>
  <c r="EC21" i="11"/>
  <c r="EB21" i="11"/>
  <c r="EA21" i="11"/>
  <c r="DZ21" i="11"/>
  <c r="DY21" i="11"/>
  <c r="DX21" i="11"/>
  <c r="DW21" i="11"/>
  <c r="DV21" i="11"/>
  <c r="DU21" i="11"/>
  <c r="DT21" i="11"/>
  <c r="DS21" i="11"/>
  <c r="DR21" i="11"/>
  <c r="DQ21" i="11"/>
  <c r="DP21" i="11"/>
  <c r="DO21" i="11"/>
  <c r="DN21" i="11"/>
  <c r="DM21" i="11"/>
  <c r="DL21" i="11"/>
  <c r="DK21" i="11"/>
  <c r="DJ21" i="11"/>
  <c r="DI21" i="11"/>
  <c r="CX21" i="11"/>
  <c r="CW21" i="11"/>
  <c r="CV21" i="11"/>
  <c r="CU21" i="11"/>
  <c r="CT21" i="11"/>
  <c r="CS21" i="11"/>
  <c r="CR21" i="11"/>
  <c r="CQ21" i="11"/>
  <c r="CP21" i="11"/>
  <c r="CO21" i="11"/>
  <c r="CN21" i="11"/>
  <c r="CM21" i="11"/>
  <c r="CL21" i="11"/>
  <c r="CK21" i="11"/>
  <c r="CJ21" i="11"/>
  <c r="CI21" i="11"/>
  <c r="CH21" i="11"/>
  <c r="CG21" i="11"/>
  <c r="CF21" i="11"/>
  <c r="CE21" i="11"/>
  <c r="CD21" i="11"/>
  <c r="CC21" i="11"/>
  <c r="CB21" i="11"/>
  <c r="CA21" i="11"/>
  <c r="BZ21" i="11"/>
  <c r="BY21" i="11"/>
  <c r="BX21" i="11"/>
  <c r="BW21" i="11"/>
  <c r="BV21" i="11"/>
  <c r="BU21" i="11"/>
  <c r="BT21" i="11"/>
  <c r="BS21" i="11"/>
  <c r="BR21" i="11"/>
  <c r="BQ21" i="11"/>
  <c r="BP21" i="11"/>
  <c r="BO21" i="11"/>
  <c r="BN21" i="11"/>
  <c r="BM21" i="11"/>
  <c r="BL21" i="11"/>
  <c r="BK21" i="11"/>
  <c r="BJ21" i="11"/>
  <c r="BI21" i="11"/>
  <c r="BH21" i="11"/>
  <c r="BG21" i="11"/>
  <c r="BF21" i="11"/>
  <c r="BE21" i="11"/>
  <c r="BD21" i="11"/>
  <c r="BC21" i="11"/>
  <c r="BB21" i="11"/>
  <c r="BA21" i="11"/>
  <c r="AZ21" i="11"/>
  <c r="AY21" i="11"/>
  <c r="AX21" i="11"/>
  <c r="AW21" i="11"/>
  <c r="AV21" i="11"/>
  <c r="AU21" i="11"/>
  <c r="AT21" i="11"/>
  <c r="AS21" i="11"/>
  <c r="AR21" i="11"/>
  <c r="AQ21" i="11"/>
  <c r="AP21" i="11"/>
  <c r="AO21" i="11"/>
  <c r="AN21" i="11"/>
  <c r="AM21" i="11"/>
  <c r="AL21" i="11"/>
  <c r="AK21" i="11"/>
  <c r="AJ21" i="11"/>
  <c r="AI21" i="11"/>
  <c r="AH21" i="11"/>
  <c r="AG21" i="11"/>
  <c r="AF21" i="11"/>
  <c r="AE21" i="11"/>
  <c r="AD21" i="11"/>
  <c r="AC21" i="11"/>
  <c r="AB21" i="11"/>
  <c r="AA21" i="11"/>
  <c r="Z21" i="11"/>
  <c r="Y21" i="11"/>
  <c r="X21" i="11"/>
  <c r="W21" i="11"/>
  <c r="V21" i="11"/>
  <c r="U21" i="11"/>
  <c r="T21" i="11"/>
  <c r="S21" i="11"/>
  <c r="R21" i="11"/>
  <c r="Q21" i="11"/>
  <c r="P21" i="11"/>
  <c r="O21" i="11"/>
  <c r="N21" i="11"/>
  <c r="EN18" i="11"/>
  <c r="EM18" i="11"/>
  <c r="EL18" i="11"/>
  <c r="EK18" i="11"/>
  <c r="EJ18" i="11"/>
  <c r="EI18" i="11"/>
  <c r="EH18" i="11"/>
  <c r="EG18" i="11"/>
  <c r="EF18" i="11"/>
  <c r="EE18" i="11"/>
  <c r="ED18" i="11"/>
  <c r="EC18" i="11"/>
  <c r="EB18" i="11"/>
  <c r="EA18" i="11"/>
  <c r="DZ18" i="11"/>
  <c r="DY18" i="11"/>
  <c r="DX18" i="11"/>
  <c r="DW18" i="11"/>
  <c r="DV18" i="11"/>
  <c r="DU18" i="11"/>
  <c r="DT18" i="11"/>
  <c r="DS18" i="11"/>
  <c r="DR18" i="11"/>
  <c r="DQ18" i="11"/>
  <c r="DP18" i="11"/>
  <c r="DO18" i="11"/>
  <c r="DN18" i="11"/>
  <c r="DM18" i="11"/>
  <c r="DL18" i="11"/>
  <c r="DK18" i="11"/>
  <c r="DJ18" i="11"/>
  <c r="DI18" i="11"/>
  <c r="CX18" i="11"/>
  <c r="CW18" i="11"/>
  <c r="CV18" i="11"/>
  <c r="CU18" i="11"/>
  <c r="CT18" i="11"/>
  <c r="CS18" i="11"/>
  <c r="CR18" i="11"/>
  <c r="CQ18" i="11"/>
  <c r="CP18" i="11"/>
  <c r="CO18" i="11"/>
  <c r="CN18" i="11"/>
  <c r="CM18" i="11"/>
  <c r="CL18" i="11"/>
  <c r="CK18" i="11"/>
  <c r="CJ18" i="11"/>
  <c r="CI18" i="11"/>
  <c r="CH18" i="11"/>
  <c r="CG18" i="11"/>
  <c r="CF18" i="11"/>
  <c r="CE18" i="11"/>
  <c r="CD18" i="11"/>
  <c r="CC18" i="11"/>
  <c r="CB18" i="11"/>
  <c r="CA18" i="11"/>
  <c r="BZ18" i="11"/>
  <c r="BY18" i="11"/>
  <c r="BX18" i="11"/>
  <c r="BW18" i="11"/>
  <c r="BV18" i="11"/>
  <c r="BU18" i="11"/>
  <c r="BT18" i="11"/>
  <c r="BS18" i="11"/>
  <c r="BR18" i="11"/>
  <c r="BQ18" i="11"/>
  <c r="BP18" i="11"/>
  <c r="BO18" i="11"/>
  <c r="BN18" i="11"/>
  <c r="BM18" i="11"/>
  <c r="BL18" i="11"/>
  <c r="BK18" i="11"/>
  <c r="BJ18" i="11"/>
  <c r="BI18" i="11"/>
  <c r="BH18" i="11"/>
  <c r="BG18" i="11"/>
  <c r="BF18" i="11"/>
  <c r="BE18" i="11"/>
  <c r="BD18" i="11"/>
  <c r="BC18" i="11"/>
  <c r="BB18" i="11"/>
  <c r="BA18" i="11"/>
  <c r="AZ18" i="11"/>
  <c r="AY18" i="11"/>
  <c r="AX18"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EN17" i="11"/>
  <c r="EM17" i="11"/>
  <c r="EL17" i="11"/>
  <c r="EK17" i="11"/>
  <c r="EJ17" i="11"/>
  <c r="EI17" i="11"/>
  <c r="EH17" i="11"/>
  <c r="EG17" i="11"/>
  <c r="EF17" i="11"/>
  <c r="EE17" i="11"/>
  <c r="ED17" i="11"/>
  <c r="EC17" i="11"/>
  <c r="EB17" i="11"/>
  <c r="EA17" i="11"/>
  <c r="DZ17" i="11"/>
  <c r="DY17" i="11"/>
  <c r="DX17" i="11"/>
  <c r="DW17" i="11"/>
  <c r="DV17" i="11"/>
  <c r="DU17" i="11"/>
  <c r="DT17" i="11"/>
  <c r="DS17" i="11"/>
  <c r="DR17" i="11"/>
  <c r="DQ17" i="11"/>
  <c r="DP17" i="11"/>
  <c r="DO17" i="11"/>
  <c r="DN17" i="11"/>
  <c r="DM17" i="11"/>
  <c r="DL17" i="11"/>
  <c r="DK17" i="11"/>
  <c r="DJ17" i="11"/>
  <c r="DI17" i="11"/>
  <c r="CX17" i="11"/>
  <c r="CW17" i="11"/>
  <c r="CV17" i="11"/>
  <c r="CU17" i="11"/>
  <c r="CT17" i="11"/>
  <c r="CS17" i="11"/>
  <c r="CR17" i="11"/>
  <c r="CQ17" i="11"/>
  <c r="CP17" i="11"/>
  <c r="CO17" i="11"/>
  <c r="CN17" i="11"/>
  <c r="CM17" i="11"/>
  <c r="CL17" i="11"/>
  <c r="CK17" i="11"/>
  <c r="CJ17" i="11"/>
  <c r="CI17" i="11"/>
  <c r="CH17" i="11"/>
  <c r="CG17" i="11"/>
  <c r="CF17" i="11"/>
  <c r="CE17" i="11"/>
  <c r="CD17" i="11"/>
  <c r="CC17" i="11"/>
  <c r="CB17" i="11"/>
  <c r="CA17" i="11"/>
  <c r="BZ17" i="11"/>
  <c r="BY17" i="11"/>
  <c r="BX17" i="11"/>
  <c r="BW17" i="11"/>
  <c r="BV17" i="11"/>
  <c r="BU17" i="11"/>
  <c r="BT17" i="11"/>
  <c r="BS17" i="11"/>
  <c r="BR17" i="11"/>
  <c r="BQ17" i="11"/>
  <c r="BP17" i="11"/>
  <c r="BO17" i="11"/>
  <c r="BN17" i="11"/>
  <c r="BM17" i="11"/>
  <c r="BL17" i="11"/>
  <c r="BK17" i="11"/>
  <c r="BJ17" i="11"/>
  <c r="BI17" i="11"/>
  <c r="BH17" i="11"/>
  <c r="BG17" i="11"/>
  <c r="BF17" i="11"/>
  <c r="BE17" i="11"/>
  <c r="BD17" i="11"/>
  <c r="BC17" i="11"/>
  <c r="BB17" i="11"/>
  <c r="BA17" i="11"/>
  <c r="AZ17" i="11"/>
  <c r="AY17" i="11"/>
  <c r="AX17" i="11"/>
  <c r="AW17" i="11"/>
  <c r="AV17"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N17" i="11"/>
  <c r="EN16" i="11"/>
  <c r="EM16" i="11"/>
  <c r="EL16" i="11"/>
  <c r="EK16" i="11"/>
  <c r="EJ16" i="11"/>
  <c r="EI16" i="11"/>
  <c r="EH16" i="11"/>
  <c r="EG16" i="11"/>
  <c r="EF16" i="11"/>
  <c r="EE16" i="11"/>
  <c r="ED16" i="11"/>
  <c r="EC16" i="11"/>
  <c r="EB16" i="11"/>
  <c r="EA16" i="11"/>
  <c r="DZ16" i="11"/>
  <c r="DY16" i="11"/>
  <c r="DX16" i="11"/>
  <c r="DW16" i="11"/>
  <c r="DV16" i="11"/>
  <c r="DU16" i="11"/>
  <c r="DT16" i="11"/>
  <c r="DS16" i="11"/>
  <c r="DR16" i="11"/>
  <c r="DQ16" i="11"/>
  <c r="DP16" i="11"/>
  <c r="DO16" i="11"/>
  <c r="DN16" i="11"/>
  <c r="DM16" i="11"/>
  <c r="DL16" i="11"/>
  <c r="DK16" i="11"/>
  <c r="DJ16" i="11"/>
  <c r="DI16" i="11"/>
  <c r="CX16" i="11"/>
  <c r="CW16" i="11"/>
  <c r="CV16" i="11"/>
  <c r="CU16" i="11"/>
  <c r="CT16" i="11"/>
  <c r="CS16" i="11"/>
  <c r="CR16" i="11"/>
  <c r="CQ16" i="11"/>
  <c r="CP16" i="11"/>
  <c r="CO16" i="11"/>
  <c r="CN16" i="11"/>
  <c r="CM16" i="11"/>
  <c r="CL16" i="11"/>
  <c r="CK16"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EN15" i="11"/>
  <c r="EM15" i="11"/>
  <c r="EL15" i="11"/>
  <c r="EK15" i="11"/>
  <c r="EJ15" i="11"/>
  <c r="EI15" i="11"/>
  <c r="EH15" i="11"/>
  <c r="EG15" i="11"/>
  <c r="EF15" i="11"/>
  <c r="EE15" i="11"/>
  <c r="ED15" i="11"/>
  <c r="EC15" i="11"/>
  <c r="EB15" i="11"/>
  <c r="EA15" i="11"/>
  <c r="DZ15" i="11"/>
  <c r="DY15" i="11"/>
  <c r="DX15" i="11"/>
  <c r="DW15" i="11"/>
  <c r="DV15" i="11"/>
  <c r="DU15" i="11"/>
  <c r="DT15" i="11"/>
  <c r="DS15" i="11"/>
  <c r="DR15" i="11"/>
  <c r="DQ15" i="11"/>
  <c r="DP15" i="11"/>
  <c r="DO15" i="11"/>
  <c r="DN15" i="11"/>
  <c r="DM15" i="11"/>
  <c r="DL15" i="11"/>
  <c r="DK15" i="11"/>
  <c r="DJ15" i="11"/>
  <c r="DI15" i="11"/>
  <c r="CX15" i="11"/>
  <c r="CW15" i="11"/>
  <c r="CV15" i="11"/>
  <c r="CU15" i="11"/>
  <c r="CT15" i="11"/>
  <c r="CS15" i="11"/>
  <c r="CR15" i="11"/>
  <c r="CQ15" i="11"/>
  <c r="CP15" i="11"/>
  <c r="CO15" i="11"/>
  <c r="CN15" i="11"/>
  <c r="CM15" i="11"/>
  <c r="CL15" i="11"/>
  <c r="CK15" i="11"/>
  <c r="CJ15" i="11"/>
  <c r="CI15" i="11"/>
  <c r="CH15" i="11"/>
  <c r="CG15" i="11"/>
  <c r="CF15" i="11"/>
  <c r="CE15" i="11"/>
  <c r="CD15" i="11"/>
  <c r="CC15" i="11"/>
  <c r="CB15" i="11"/>
  <c r="CA15" i="11"/>
  <c r="BZ15" i="11"/>
  <c r="BY15" i="11"/>
  <c r="BX15" i="11"/>
  <c r="BW15" i="11"/>
  <c r="BV15" i="11"/>
  <c r="BU15" i="11"/>
  <c r="BT15" i="11"/>
  <c r="BS15" i="11"/>
  <c r="BR15" i="11"/>
  <c r="BQ15" i="11"/>
  <c r="BP15" i="11"/>
  <c r="BO15" i="11"/>
  <c r="BN15" i="11"/>
  <c r="BM15" i="11"/>
  <c r="BL15" i="11"/>
  <c r="BK15" i="11"/>
  <c r="BJ15" i="11"/>
  <c r="BI15" i="11"/>
  <c r="BH15" i="11"/>
  <c r="BG15" i="11"/>
  <c r="BF15" i="11"/>
  <c r="BE15" i="11"/>
  <c r="BD15" i="11"/>
  <c r="BC15" i="11"/>
  <c r="BB15" i="11"/>
  <c r="BA15" i="11"/>
  <c r="AZ15" i="11"/>
  <c r="AY15" i="11"/>
  <c r="AX15" i="11"/>
  <c r="AW15" i="11"/>
  <c r="AV15" i="11"/>
  <c r="AU15" i="11"/>
  <c r="AT15" i="11"/>
  <c r="AS15" i="11"/>
  <c r="AR15" i="11"/>
  <c r="AQ15" i="11"/>
  <c r="AP15" i="11"/>
  <c r="AO15" i="11"/>
  <c r="AN15" i="11"/>
  <c r="AM15" i="11"/>
  <c r="AL15" i="11"/>
  <c r="AK15" i="11"/>
  <c r="AJ15" i="11"/>
  <c r="AI15" i="11"/>
  <c r="AH15" i="11"/>
  <c r="AG15" i="11"/>
  <c r="AF15" i="11"/>
  <c r="AE15" i="11"/>
  <c r="AD15" i="11"/>
  <c r="AC15" i="11"/>
  <c r="AB15" i="11"/>
  <c r="AA15" i="11"/>
  <c r="Z15" i="11"/>
  <c r="Y15" i="11"/>
  <c r="X15" i="11"/>
  <c r="W15" i="11"/>
  <c r="V15" i="11"/>
  <c r="U15" i="11"/>
  <c r="T15" i="11"/>
  <c r="S15" i="11"/>
  <c r="R15" i="11"/>
  <c r="Q15" i="11"/>
  <c r="P15" i="11"/>
  <c r="O15" i="11"/>
  <c r="N15" i="11"/>
  <c r="EN12" i="11"/>
  <c r="EM12" i="11"/>
  <c r="EL12" i="11"/>
  <c r="EK12" i="11"/>
  <c r="EJ12" i="11"/>
  <c r="EI12" i="11"/>
  <c r="EH12" i="11"/>
  <c r="EG12" i="11"/>
  <c r="EF12" i="11"/>
  <c r="EE12" i="11"/>
  <c r="ED12" i="11"/>
  <c r="EC12" i="11"/>
  <c r="EB12" i="11"/>
  <c r="EA12" i="11"/>
  <c r="DZ12" i="11"/>
  <c r="DY12" i="11"/>
  <c r="DX12" i="11"/>
  <c r="DW12" i="11"/>
  <c r="DV12" i="11"/>
  <c r="DU12" i="11"/>
  <c r="DT12" i="11"/>
  <c r="DS12" i="11"/>
  <c r="DR12" i="11"/>
  <c r="DQ12" i="11"/>
  <c r="DP12" i="11"/>
  <c r="DO12" i="11"/>
  <c r="DN12" i="11"/>
  <c r="DM12" i="11"/>
  <c r="DL12" i="11"/>
  <c r="DK12" i="11"/>
  <c r="DJ12" i="11"/>
  <c r="DI12" i="11"/>
  <c r="CX12" i="11"/>
  <c r="CW12" i="11"/>
  <c r="CV12" i="11"/>
  <c r="CU12" i="11"/>
  <c r="CT12" i="11"/>
  <c r="CS12" i="11"/>
  <c r="CR12" i="11"/>
  <c r="CQ12" i="11"/>
  <c r="CP12" i="11"/>
  <c r="CO12" i="11"/>
  <c r="CN12" i="11"/>
  <c r="CM12" i="11"/>
  <c r="CL12" i="11"/>
  <c r="CK12" i="11"/>
  <c r="CJ12" i="11"/>
  <c r="CI12" i="11"/>
  <c r="CH12" i="11"/>
  <c r="CG12" i="11"/>
  <c r="CF12" i="11"/>
  <c r="CE12" i="11"/>
  <c r="CD12" i="11"/>
  <c r="CC12" i="11"/>
  <c r="CB12" i="11"/>
  <c r="CA12" i="11"/>
  <c r="BZ12" i="11"/>
  <c r="BY12" i="11"/>
  <c r="BX12" i="11"/>
  <c r="BW12" i="11"/>
  <c r="BV12" i="11"/>
  <c r="BU12" i="11"/>
  <c r="BT12" i="11"/>
  <c r="BS12" i="11"/>
  <c r="BR12" i="11"/>
  <c r="BQ12" i="11"/>
  <c r="BP12" i="11"/>
  <c r="BO12" i="11"/>
  <c r="BN12" i="11"/>
  <c r="BM12" i="11"/>
  <c r="BL12" i="11"/>
  <c r="BK12" i="11"/>
  <c r="BJ12" i="11"/>
  <c r="BI12" i="11"/>
  <c r="BH12" i="11"/>
  <c r="BG12" i="11"/>
  <c r="BF12" i="11"/>
  <c r="BE12" i="11"/>
  <c r="BD12" i="11"/>
  <c r="BC12" i="11"/>
  <c r="BB12" i="11"/>
  <c r="BA12" i="11"/>
  <c r="AZ12" i="11"/>
  <c r="AY12" i="11"/>
  <c r="AX12" i="11"/>
  <c r="AW12" i="11"/>
  <c r="AV12" i="11"/>
  <c r="AU12" i="11"/>
  <c r="AT12" i="11"/>
  <c r="AS12" i="11"/>
  <c r="AR12" i="11"/>
  <c r="AQ12" i="11"/>
  <c r="AP12" i="11"/>
  <c r="AO12" i="11"/>
  <c r="AN12" i="11"/>
  <c r="AM12" i="11"/>
  <c r="AL12" i="11"/>
  <c r="AK12" i="11"/>
  <c r="AJ12" i="11"/>
  <c r="AI12" i="11"/>
  <c r="AH12" i="11"/>
  <c r="AG12" i="11"/>
  <c r="AF12" i="11"/>
  <c r="AE12" i="11"/>
  <c r="AD12" i="11"/>
  <c r="AC12" i="11"/>
  <c r="AB12" i="11"/>
  <c r="AA12" i="11"/>
  <c r="Z12" i="11"/>
  <c r="Y12" i="11"/>
  <c r="X12" i="11"/>
  <c r="W12" i="11"/>
  <c r="V12" i="11"/>
  <c r="U12" i="11"/>
  <c r="T12" i="11"/>
  <c r="S12" i="11"/>
  <c r="R12" i="11"/>
  <c r="Q12" i="11"/>
  <c r="P12" i="11"/>
  <c r="O12" i="11"/>
  <c r="N12" i="11"/>
  <c r="EN11" i="11"/>
  <c r="EM11" i="11"/>
  <c r="EL11" i="11"/>
  <c r="EK11" i="11"/>
  <c r="EJ11" i="11"/>
  <c r="EI11" i="11"/>
  <c r="EH11" i="11"/>
  <c r="EG11" i="11"/>
  <c r="EF11" i="11"/>
  <c r="EE11" i="11"/>
  <c r="ED11" i="11"/>
  <c r="EC11" i="11"/>
  <c r="EB11" i="11"/>
  <c r="EA11" i="11"/>
  <c r="DZ11" i="11"/>
  <c r="DY11" i="11"/>
  <c r="DX11" i="11"/>
  <c r="DW11" i="11"/>
  <c r="DV11" i="11"/>
  <c r="DU11" i="11"/>
  <c r="DT11" i="11"/>
  <c r="DS11" i="11"/>
  <c r="DR11" i="11"/>
  <c r="DQ11" i="11"/>
  <c r="DP11" i="11"/>
  <c r="DO11" i="11"/>
  <c r="DN11" i="11"/>
  <c r="DM11" i="11"/>
  <c r="DL11" i="11"/>
  <c r="DK11" i="11"/>
  <c r="DJ11" i="11"/>
  <c r="DI11" i="11"/>
  <c r="CX11" i="11"/>
  <c r="CW11" i="11"/>
  <c r="CV11" i="11"/>
  <c r="CU11" i="11"/>
  <c r="CT11" i="11"/>
  <c r="CS11" i="11"/>
  <c r="CR11" i="11"/>
  <c r="CQ11" i="11"/>
  <c r="CP11" i="11"/>
  <c r="CO11" i="11"/>
  <c r="CN11" i="11"/>
  <c r="CM11" i="11"/>
  <c r="CL11" i="11"/>
  <c r="CK11" i="11"/>
  <c r="CJ11" i="11"/>
  <c r="CI11" i="11"/>
  <c r="CH11" i="11"/>
  <c r="CG11" i="11"/>
  <c r="CF11" i="11"/>
  <c r="CE11" i="11"/>
  <c r="CD11" i="11"/>
  <c r="CC11" i="11"/>
  <c r="CB11" i="11"/>
  <c r="CA11" i="11"/>
  <c r="BZ11" i="11"/>
  <c r="BY11" i="11"/>
  <c r="BX11" i="11"/>
  <c r="BW11" i="11"/>
  <c r="BV11" i="11"/>
  <c r="BU11" i="11"/>
  <c r="BT11" i="11"/>
  <c r="BS11" i="11"/>
  <c r="BR11" i="11"/>
  <c r="BQ11" i="11"/>
  <c r="BP11" i="11"/>
  <c r="BO11" i="11"/>
  <c r="BN11" i="11"/>
  <c r="BM11" i="11"/>
  <c r="BL11" i="11"/>
  <c r="BK11" i="11"/>
  <c r="BJ11" i="11"/>
  <c r="BI11" i="11"/>
  <c r="BH11" i="11"/>
  <c r="BG11" i="11"/>
  <c r="BF11" i="11"/>
  <c r="BE11" i="11"/>
  <c r="BD11" i="11"/>
  <c r="BC11" i="11"/>
  <c r="BB11" i="11"/>
  <c r="BA11" i="11"/>
  <c r="AZ11" i="11"/>
  <c r="AY11" i="11"/>
  <c r="AX11" i="11"/>
  <c r="AW11" i="11"/>
  <c r="AV11" i="11"/>
  <c r="AU11" i="11"/>
  <c r="AT11" i="11"/>
  <c r="AS11" i="11"/>
  <c r="AR11" i="11"/>
  <c r="AQ11" i="11"/>
  <c r="AP11" i="11"/>
  <c r="AO11" i="11"/>
  <c r="AN11" i="11"/>
  <c r="AM11" i="11"/>
  <c r="AL11" i="11"/>
  <c r="AK11" i="11"/>
  <c r="AJ11" i="11"/>
  <c r="AI11" i="11"/>
  <c r="AH11" i="11"/>
  <c r="AG11" i="11"/>
  <c r="AF11" i="11"/>
  <c r="AE11" i="11"/>
  <c r="AD11" i="11"/>
  <c r="AC11" i="11"/>
  <c r="AB11" i="11"/>
  <c r="AA11" i="11"/>
  <c r="Z11" i="11"/>
  <c r="Y11" i="11"/>
  <c r="X11" i="11"/>
  <c r="W11" i="11"/>
  <c r="V11" i="11"/>
  <c r="U11" i="11"/>
  <c r="T11" i="11"/>
  <c r="S11" i="11"/>
  <c r="R11" i="11"/>
  <c r="Q11" i="11"/>
  <c r="P11" i="11"/>
  <c r="O11" i="11"/>
  <c r="N11" i="11"/>
  <c r="EN10" i="11"/>
  <c r="EM10" i="11"/>
  <c r="EL10" i="11"/>
  <c r="EK10" i="11"/>
  <c r="EJ10" i="11"/>
  <c r="EI10" i="11"/>
  <c r="EH10" i="11"/>
  <c r="EG10" i="11"/>
  <c r="EF10" i="11"/>
  <c r="EE10" i="11"/>
  <c r="ED10" i="11"/>
  <c r="EC10" i="11"/>
  <c r="EB10" i="11"/>
  <c r="EA10" i="11"/>
  <c r="DZ10" i="11"/>
  <c r="DY10" i="11"/>
  <c r="DX10" i="11"/>
  <c r="DW10" i="11"/>
  <c r="DV10" i="11"/>
  <c r="DU10" i="11"/>
  <c r="DT10" i="11"/>
  <c r="DS10" i="11"/>
  <c r="DR10" i="11"/>
  <c r="DQ10" i="11"/>
  <c r="DP10" i="11"/>
  <c r="DO10" i="11"/>
  <c r="DN10" i="11"/>
  <c r="DM10" i="11"/>
  <c r="DL10" i="11"/>
  <c r="DK10" i="11"/>
  <c r="DJ10" i="11"/>
  <c r="DI10" i="11"/>
  <c r="CX10" i="11"/>
  <c r="CW10" i="11"/>
  <c r="CV10" i="11"/>
  <c r="CU10" i="11"/>
  <c r="CT10" i="11"/>
  <c r="CS10" i="11"/>
  <c r="CR10" i="11"/>
  <c r="CQ10" i="11"/>
  <c r="CP10" i="11"/>
  <c r="CO10" i="11"/>
  <c r="CN10" i="11"/>
  <c r="CM10" i="11"/>
  <c r="CL10" i="11"/>
  <c r="CK10" i="11"/>
  <c r="CJ10" i="11"/>
  <c r="CI10" i="11"/>
  <c r="CH10" i="11"/>
  <c r="CG10" i="11"/>
  <c r="CF10" i="11"/>
  <c r="CE10" i="11"/>
  <c r="CD10" i="11"/>
  <c r="CC10" i="11"/>
  <c r="CB10" i="11"/>
  <c r="CA10" i="11"/>
  <c r="BZ10" i="11"/>
  <c r="BY10" i="11"/>
  <c r="BX10" i="11"/>
  <c r="BW10" i="11"/>
  <c r="BV10" i="11"/>
  <c r="BU10" i="11"/>
  <c r="BT10" i="11"/>
  <c r="BS10" i="11"/>
  <c r="BR10" i="11"/>
  <c r="BQ10" i="11"/>
  <c r="BP10" i="11"/>
  <c r="BO10" i="11"/>
  <c r="BN10" i="11"/>
  <c r="BM10" i="11"/>
  <c r="BL10" i="11"/>
  <c r="BK10" i="11"/>
  <c r="BJ10" i="11"/>
  <c r="BI10" i="11"/>
  <c r="BH10" i="11"/>
  <c r="BG10" i="11"/>
  <c r="BF10" i="11"/>
  <c r="BE10" i="11"/>
  <c r="BD10" i="11"/>
  <c r="BC10" i="11"/>
  <c r="BB10" i="11"/>
  <c r="BA10" i="11"/>
  <c r="AZ10" i="11"/>
  <c r="AY10" i="11"/>
  <c r="AX10" i="11"/>
  <c r="AW10" i="11"/>
  <c r="AV10" i="11"/>
  <c r="AU10" i="11"/>
  <c r="AT10" i="11"/>
  <c r="AS10" i="11"/>
  <c r="AR10" i="11"/>
  <c r="AQ10" i="11"/>
  <c r="AP10" i="11"/>
  <c r="AO10" i="11"/>
  <c r="AN10" i="11"/>
  <c r="AM10" i="11"/>
  <c r="AL10" i="11"/>
  <c r="AK10" i="11"/>
  <c r="AJ10" i="11"/>
  <c r="AI10" i="11"/>
  <c r="AH10" i="11"/>
  <c r="AG10" i="11"/>
  <c r="AF10" i="11"/>
  <c r="AE10" i="11"/>
  <c r="AD10" i="11"/>
  <c r="AC10" i="11"/>
  <c r="AB10" i="11"/>
  <c r="AA10" i="11"/>
  <c r="Z10" i="11"/>
  <c r="Y10" i="11"/>
  <c r="X10" i="11"/>
  <c r="W10" i="11"/>
  <c r="V10" i="11"/>
  <c r="U10" i="11"/>
  <c r="T10" i="11"/>
  <c r="S10" i="11"/>
  <c r="R10" i="11"/>
  <c r="Q10" i="11"/>
  <c r="P10" i="11"/>
  <c r="O10" i="11"/>
  <c r="N10" i="11"/>
  <c r="EN9" i="11"/>
  <c r="EM9" i="11"/>
  <c r="EL9" i="11"/>
  <c r="EK9" i="11"/>
  <c r="EJ9" i="11"/>
  <c r="EI9" i="11"/>
  <c r="EH9" i="11"/>
  <c r="EG9" i="11"/>
  <c r="EF9" i="11"/>
  <c r="EE9" i="11"/>
  <c r="ED9" i="11"/>
  <c r="EC9" i="11"/>
  <c r="EB9" i="11"/>
  <c r="EA9" i="11"/>
  <c r="DZ9" i="11"/>
  <c r="DY9" i="11"/>
  <c r="DX9" i="11"/>
  <c r="DW9" i="11"/>
  <c r="DV9" i="11"/>
  <c r="DU9" i="11"/>
  <c r="DT9" i="11"/>
  <c r="DS9" i="11"/>
  <c r="DR9" i="11"/>
  <c r="DQ9" i="11"/>
  <c r="DP9" i="11"/>
  <c r="DO9" i="11"/>
  <c r="DN9" i="11"/>
  <c r="DM9" i="11"/>
  <c r="DL9" i="11"/>
  <c r="DK9" i="11"/>
  <c r="DJ9" i="11"/>
  <c r="DI9" i="11"/>
  <c r="CX9" i="11"/>
  <c r="CW9" i="11"/>
  <c r="CV9" i="11"/>
  <c r="CU9" i="11"/>
  <c r="CT9" i="11"/>
  <c r="CS9" i="11"/>
  <c r="CR9" i="11"/>
  <c r="CQ9" i="11"/>
  <c r="CP9" i="11"/>
  <c r="CO9" i="11"/>
  <c r="CN9" i="11"/>
  <c r="CM9" i="11"/>
  <c r="CL9" i="11"/>
  <c r="CK9" i="11"/>
  <c r="CJ9" i="11"/>
  <c r="CI9" i="11"/>
  <c r="CH9" i="11"/>
  <c r="CG9" i="11"/>
  <c r="CF9" i="11"/>
  <c r="CE9" i="11"/>
  <c r="CD9" i="11"/>
  <c r="CC9" i="11"/>
  <c r="CB9" i="11"/>
  <c r="CA9" i="11"/>
  <c r="BZ9" i="11"/>
  <c r="BY9" i="11"/>
  <c r="BX9" i="11"/>
  <c r="BW9" i="11"/>
  <c r="BV9" i="11"/>
  <c r="BU9" i="11"/>
  <c r="BT9" i="11"/>
  <c r="BS9" i="11"/>
  <c r="BR9" i="11"/>
  <c r="BQ9" i="11"/>
  <c r="BP9" i="11"/>
  <c r="BO9" i="11"/>
  <c r="BN9" i="11"/>
  <c r="BM9" i="11"/>
  <c r="BL9" i="11"/>
  <c r="BK9" i="11"/>
  <c r="BJ9" i="11"/>
  <c r="BI9" i="11"/>
  <c r="BH9" i="11"/>
  <c r="BG9" i="11"/>
  <c r="BF9" i="11"/>
  <c r="BE9" i="11"/>
  <c r="BD9" i="11"/>
  <c r="BC9" i="11"/>
  <c r="BB9" i="11"/>
  <c r="BA9" i="11"/>
  <c r="AZ9" i="11"/>
  <c r="AY9" i="11"/>
  <c r="AX9" i="11"/>
  <c r="AW9" i="11"/>
  <c r="AV9" i="11"/>
  <c r="AU9" i="11"/>
  <c r="AT9" i="11"/>
  <c r="AS9" i="11"/>
  <c r="AR9" i="11"/>
  <c r="AQ9" i="11"/>
  <c r="AP9" i="11"/>
  <c r="AO9" i="11"/>
  <c r="AN9" i="11"/>
  <c r="AM9" i="11"/>
  <c r="AL9" i="11"/>
  <c r="AK9" i="11"/>
  <c r="AJ9" i="11"/>
  <c r="AI9" i="11"/>
  <c r="AH9" i="11"/>
  <c r="AG9" i="11"/>
  <c r="AF9" i="11"/>
  <c r="AE9" i="11"/>
  <c r="AD9" i="11"/>
  <c r="AC9" i="11"/>
  <c r="AB9" i="11"/>
  <c r="AA9" i="11"/>
  <c r="Z9" i="11"/>
  <c r="Y9" i="11"/>
  <c r="X9" i="11"/>
  <c r="W9" i="11"/>
  <c r="V9" i="11"/>
  <c r="U9" i="11"/>
  <c r="T9" i="11"/>
  <c r="S9" i="11"/>
  <c r="R9" i="11"/>
  <c r="Q9" i="11"/>
  <c r="P9" i="11"/>
  <c r="O9" i="11"/>
  <c r="N9" i="11"/>
  <c r="EN6" i="11"/>
  <c r="EM6" i="11"/>
  <c r="EL6" i="11"/>
  <c r="EK6" i="11"/>
  <c r="EJ6" i="11"/>
  <c r="EI6" i="11"/>
  <c r="EH6" i="11"/>
  <c r="EG6" i="11"/>
  <c r="EF6" i="11"/>
  <c r="EE6" i="11"/>
  <c r="ED6" i="11"/>
  <c r="EC6" i="11"/>
  <c r="EB6" i="11"/>
  <c r="EA6" i="11"/>
  <c r="DZ6" i="11"/>
  <c r="DY6" i="11"/>
  <c r="DX6" i="11"/>
  <c r="DW6" i="11"/>
  <c r="DV6" i="11"/>
  <c r="DU6" i="11"/>
  <c r="DT6" i="11"/>
  <c r="DS6" i="11"/>
  <c r="DR6" i="11"/>
  <c r="DQ6" i="11"/>
  <c r="DP6" i="11"/>
  <c r="DO6" i="11"/>
  <c r="DN6" i="11"/>
  <c r="DM6" i="11"/>
  <c r="DL6" i="11"/>
  <c r="DK6" i="11"/>
  <c r="DJ6" i="11"/>
  <c r="DI6" i="11"/>
  <c r="DH6" i="11"/>
  <c r="DG6" i="11"/>
  <c r="DF6" i="11"/>
  <c r="DE6" i="11"/>
  <c r="EN5" i="11"/>
  <c r="EM5" i="11"/>
  <c r="EL5" i="11"/>
  <c r="EK5" i="11"/>
  <c r="EJ5" i="11"/>
  <c r="EI5" i="11"/>
  <c r="EH5" i="11"/>
  <c r="EG5" i="11"/>
  <c r="EF5" i="11"/>
  <c r="EE5" i="11"/>
  <c r="ED5" i="11"/>
  <c r="EC5" i="11"/>
  <c r="EB5" i="11"/>
  <c r="EA5" i="11"/>
  <c r="DZ5" i="11"/>
  <c r="DY5" i="11"/>
  <c r="DX5" i="11"/>
  <c r="DW5" i="11"/>
  <c r="DV5" i="11"/>
  <c r="DU5" i="11"/>
  <c r="DT5" i="11"/>
  <c r="DS5" i="11"/>
  <c r="DR5" i="11"/>
  <c r="DQ5" i="11"/>
  <c r="DP5" i="11"/>
  <c r="DO5" i="11"/>
  <c r="DN5" i="11"/>
  <c r="DM5" i="11"/>
  <c r="DL5" i="11"/>
  <c r="DK5" i="11"/>
  <c r="DJ5" i="11"/>
  <c r="DI5" i="11"/>
  <c r="DH5" i="11"/>
  <c r="DG5" i="11"/>
  <c r="DF5" i="11"/>
  <c r="DE5" i="11"/>
  <c r="EN4" i="11"/>
  <c r="EM4" i="11"/>
  <c r="EL4" i="11"/>
  <c r="EK4" i="11"/>
  <c r="EJ4" i="11"/>
  <c r="EI4" i="11"/>
  <c r="EH4" i="11"/>
  <c r="EG4" i="11"/>
  <c r="EF4" i="11"/>
  <c r="EE4" i="11"/>
  <c r="ED4" i="11"/>
  <c r="EC4" i="11"/>
  <c r="EB4" i="11"/>
  <c r="EA4" i="11"/>
  <c r="DZ4" i="11"/>
  <c r="DY4" i="11"/>
  <c r="DX4" i="11"/>
  <c r="DW4" i="11"/>
  <c r="DV4" i="11"/>
  <c r="DU4" i="11"/>
  <c r="DT4" i="11"/>
  <c r="DS4" i="11"/>
  <c r="DR4" i="11"/>
  <c r="DQ4" i="11"/>
  <c r="DP4" i="11"/>
  <c r="DO4" i="11"/>
  <c r="DN4" i="11"/>
  <c r="DM4" i="11"/>
  <c r="DL4" i="11"/>
  <c r="DK4" i="11"/>
  <c r="DJ4" i="11"/>
  <c r="DI4" i="11"/>
  <c r="DH4" i="11"/>
  <c r="DG4" i="11"/>
  <c r="DF4" i="11"/>
  <c r="DE4" i="11"/>
  <c r="EN3" i="11"/>
  <c r="EM3" i="11"/>
  <c r="EL3" i="11"/>
  <c r="EK3" i="11"/>
  <c r="EJ3" i="11"/>
  <c r="EI3" i="11"/>
  <c r="EH3" i="11"/>
  <c r="EG3" i="11"/>
  <c r="EF3" i="11"/>
  <c r="EE3" i="11"/>
  <c r="ED3" i="11"/>
  <c r="EC3" i="11"/>
  <c r="EB3" i="11"/>
  <c r="EA3" i="11"/>
  <c r="DZ3" i="11"/>
  <c r="DY3" i="11"/>
  <c r="DX3" i="11"/>
  <c r="DW3" i="11"/>
  <c r="DV3" i="11"/>
  <c r="DU3" i="11"/>
  <c r="DT3" i="11"/>
  <c r="DS3" i="11"/>
  <c r="DR3" i="11"/>
  <c r="DQ3" i="11"/>
  <c r="DP3" i="11"/>
  <c r="DO3" i="11"/>
  <c r="DN3" i="11"/>
  <c r="DM3" i="11"/>
  <c r="DL3" i="11"/>
  <c r="DK3" i="11"/>
  <c r="DJ3" i="11"/>
  <c r="DI3" i="11"/>
  <c r="DH3" i="11"/>
  <c r="DG3" i="11"/>
  <c r="DF3" i="11"/>
  <c r="DE3" i="11"/>
  <c r="EN2" i="11"/>
  <c r="EM2" i="11"/>
  <c r="EL2" i="11"/>
  <c r="EK2" i="11"/>
  <c r="EJ2" i="11"/>
  <c r="EI2" i="11"/>
  <c r="EH2" i="11"/>
  <c r="EG2" i="11"/>
  <c r="EF2" i="11"/>
  <c r="EE2" i="11"/>
  <c r="ED2" i="11"/>
  <c r="EC2" i="11"/>
  <c r="EB2" i="11"/>
  <c r="EA2" i="11"/>
  <c r="DZ2" i="11"/>
  <c r="DY2" i="11"/>
  <c r="DX2" i="11"/>
  <c r="DW2" i="11"/>
  <c r="DV2" i="11"/>
  <c r="DU2" i="11"/>
  <c r="DT2" i="11"/>
  <c r="DS2" i="11"/>
  <c r="DR2" i="11"/>
  <c r="DQ2" i="11"/>
  <c r="DP2" i="11"/>
  <c r="DO2" i="11"/>
  <c r="DN2" i="11"/>
  <c r="DM2" i="11"/>
  <c r="DL2" i="11"/>
  <c r="DK2" i="11"/>
  <c r="DJ2" i="11"/>
  <c r="DI2" i="11"/>
  <c r="DH2" i="11"/>
  <c r="DG2" i="11"/>
  <c r="DF2" i="11"/>
  <c r="CX2" i="11"/>
  <c r="CW2" i="11"/>
  <c r="CV2" i="11"/>
  <c r="CU2" i="11"/>
  <c r="CT2" i="11"/>
  <c r="CS2" i="11"/>
  <c r="CR2" i="11"/>
  <c r="CQ2" i="11"/>
  <c r="CP2" i="11"/>
  <c r="CO2" i="11"/>
  <c r="CN2" i="11"/>
  <c r="CM2" i="11"/>
  <c r="CL2" i="11"/>
  <c r="CK2" i="11"/>
  <c r="CJ2" i="11"/>
  <c r="CI2" i="11"/>
  <c r="CH2" i="11"/>
  <c r="CG2"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C2" i="11"/>
  <c r="EI1" i="11"/>
  <c r="EE1" i="11"/>
  <c r="EA1" i="11"/>
  <c r="DW1" i="11"/>
  <c r="DS1" i="11"/>
  <c r="DO1" i="11"/>
  <c r="DK1" i="11"/>
  <c r="DG1" i="11"/>
  <c r="DC1" i="11"/>
  <c r="CY1" i="11"/>
  <c r="CV1" i="11"/>
  <c r="CS1" i="11"/>
  <c r="CP1" i="11"/>
  <c r="CM1" i="11"/>
  <c r="CJ1" i="11"/>
  <c r="CG1" i="11"/>
  <c r="CD1" i="11"/>
  <c r="CA1" i="11"/>
  <c r="BX1" i="11"/>
  <c r="BU1" i="11"/>
  <c r="BR1" i="11"/>
  <c r="BO1" i="11"/>
  <c r="BL1" i="11"/>
  <c r="BI1" i="11"/>
  <c r="BF1" i="11"/>
  <c r="BC1" i="11"/>
  <c r="AZ1" i="11"/>
  <c r="AW1" i="11"/>
  <c r="AT1" i="11"/>
  <c r="AQ1" i="11"/>
  <c r="AN1" i="11"/>
  <c r="AK1" i="11"/>
  <c r="AH1" i="11"/>
  <c r="AE1" i="11"/>
  <c r="AB1" i="11"/>
  <c r="Y1" i="11"/>
  <c r="V1" i="11"/>
  <c r="S1" i="11"/>
  <c r="R1075" i="8"/>
  <c r="R1074" i="8"/>
  <c r="R1073" i="8"/>
  <c r="R1072" i="8"/>
  <c r="R1071" i="8"/>
  <c r="R1070" i="8"/>
  <c r="R1069" i="8"/>
  <c r="R1068" i="8"/>
  <c r="R1067" i="8"/>
  <c r="R1066" i="8"/>
  <c r="R1065" i="8"/>
  <c r="R1064" i="8"/>
  <c r="R1063" i="8"/>
  <c r="R1062" i="8"/>
  <c r="R1061" i="8"/>
  <c r="R1060" i="8"/>
  <c r="R1059" i="8"/>
  <c r="R1058" i="8"/>
  <c r="R1057" i="8"/>
  <c r="R1056" i="8"/>
  <c r="R1055" i="8"/>
  <c r="R1054" i="8"/>
  <c r="R1053" i="8"/>
  <c r="R1052" i="8"/>
  <c r="R1051" i="8"/>
  <c r="R1050" i="8"/>
  <c r="R1049" i="8"/>
  <c r="R1048" i="8"/>
  <c r="R1047" i="8"/>
  <c r="R1046" i="8"/>
  <c r="R1045" i="8"/>
  <c r="R1044" i="8"/>
  <c r="R1043" i="8"/>
  <c r="R1042" i="8"/>
  <c r="R1041" i="8"/>
  <c r="R1040" i="8"/>
  <c r="R1039" i="8"/>
  <c r="R1038" i="8"/>
  <c r="R1037" i="8"/>
  <c r="R1036" i="8"/>
  <c r="R1035" i="8"/>
  <c r="R1034" i="8"/>
  <c r="R1033" i="8"/>
  <c r="R1032" i="8"/>
  <c r="R1031" i="8"/>
  <c r="R1030" i="8"/>
  <c r="R1029" i="8"/>
  <c r="R1028" i="8"/>
  <c r="R1027" i="8"/>
  <c r="R1026" i="8"/>
  <c r="R1025" i="8"/>
  <c r="R1024" i="8"/>
  <c r="R1023" i="8"/>
  <c r="R1022" i="8"/>
  <c r="R1021" i="8"/>
  <c r="R1020" i="8"/>
  <c r="R1019" i="8"/>
  <c r="R1018" i="8"/>
  <c r="R1017" i="8"/>
  <c r="R1016" i="8"/>
  <c r="R1015" i="8"/>
  <c r="R1014" i="8"/>
  <c r="R1013" i="8"/>
  <c r="R1012" i="8"/>
  <c r="R1011" i="8"/>
  <c r="R1010" i="8"/>
  <c r="R1009" i="8"/>
  <c r="R1008" i="8"/>
  <c r="R1007" i="8"/>
  <c r="R1006" i="8"/>
  <c r="R1005" i="8"/>
  <c r="R1004" i="8"/>
  <c r="R1003" i="8"/>
  <c r="R1002" i="8"/>
  <c r="R1001" i="8"/>
  <c r="R1000" i="8"/>
  <c r="R999" i="8"/>
  <c r="R998" i="8"/>
  <c r="R997" i="8"/>
  <c r="R996" i="8"/>
  <c r="R995" i="8"/>
  <c r="R994" i="8"/>
  <c r="R993" i="8"/>
  <c r="R992" i="8"/>
  <c r="R991" i="8"/>
  <c r="R990" i="8"/>
  <c r="R989" i="8"/>
  <c r="R988" i="8"/>
  <c r="R987" i="8"/>
  <c r="R986" i="8"/>
  <c r="R985" i="8"/>
  <c r="R984" i="8"/>
  <c r="R983" i="8"/>
  <c r="R982" i="8"/>
  <c r="R981" i="8"/>
  <c r="R980" i="8"/>
  <c r="R979" i="8"/>
  <c r="R978" i="8"/>
  <c r="R977" i="8"/>
  <c r="R976" i="8"/>
  <c r="R975" i="8"/>
  <c r="R974" i="8"/>
  <c r="R973" i="8"/>
  <c r="R972" i="8"/>
  <c r="R971" i="8"/>
  <c r="R970" i="8"/>
  <c r="R969" i="8"/>
  <c r="R968" i="8"/>
  <c r="R967" i="8"/>
  <c r="R966" i="8"/>
  <c r="R965" i="8"/>
  <c r="R964" i="8"/>
  <c r="R963" i="8"/>
  <c r="R962" i="8"/>
  <c r="R961" i="8"/>
  <c r="R960" i="8"/>
  <c r="R959" i="8"/>
  <c r="R958" i="8"/>
  <c r="R957" i="8"/>
  <c r="R956" i="8"/>
  <c r="R955" i="8"/>
  <c r="R954" i="8"/>
  <c r="R953" i="8"/>
  <c r="R952" i="8"/>
  <c r="R951" i="8"/>
  <c r="R950" i="8"/>
  <c r="R949" i="8"/>
  <c r="R948" i="8"/>
  <c r="R947" i="8"/>
  <c r="R946" i="8"/>
  <c r="R945" i="8"/>
  <c r="R944" i="8"/>
  <c r="R943" i="8"/>
  <c r="R942" i="8"/>
  <c r="R941" i="8"/>
  <c r="R940" i="8"/>
  <c r="R939" i="8"/>
  <c r="R938" i="8"/>
  <c r="R937" i="8"/>
  <c r="R936" i="8"/>
  <c r="R935" i="8"/>
  <c r="R934" i="8"/>
  <c r="R933" i="8"/>
  <c r="R932" i="8"/>
  <c r="R931" i="8"/>
  <c r="R930" i="8"/>
  <c r="R929" i="8"/>
  <c r="R928" i="8"/>
  <c r="R927" i="8"/>
  <c r="R926" i="8"/>
  <c r="R925" i="8"/>
  <c r="R924" i="8"/>
  <c r="R923" i="8"/>
  <c r="R922" i="8"/>
  <c r="R921" i="8"/>
  <c r="R920" i="8"/>
  <c r="R919" i="8"/>
  <c r="R918" i="8"/>
  <c r="R917" i="8"/>
  <c r="R916" i="8"/>
  <c r="R915" i="8"/>
  <c r="R914" i="8"/>
  <c r="R913" i="8"/>
  <c r="R912" i="8"/>
  <c r="R911" i="8"/>
  <c r="R910" i="8"/>
  <c r="R909" i="8"/>
  <c r="R908" i="8"/>
  <c r="R907" i="8"/>
  <c r="R906" i="8"/>
  <c r="R905" i="8"/>
  <c r="R904" i="8"/>
  <c r="R903" i="8"/>
  <c r="R902" i="8"/>
  <c r="R901" i="8"/>
  <c r="R900" i="8"/>
  <c r="R899" i="8"/>
  <c r="R898" i="8"/>
  <c r="R897" i="8"/>
  <c r="R896" i="8"/>
  <c r="R895" i="8"/>
  <c r="R894" i="8"/>
  <c r="R893" i="8"/>
  <c r="R892" i="8"/>
  <c r="R891" i="8"/>
  <c r="R890" i="8"/>
  <c r="R889" i="8"/>
  <c r="R888" i="8"/>
  <c r="R887" i="8"/>
  <c r="R886" i="8"/>
  <c r="R885" i="8"/>
  <c r="R884" i="8"/>
  <c r="R883" i="8"/>
  <c r="R882" i="8"/>
  <c r="R881" i="8"/>
  <c r="R880" i="8"/>
  <c r="R879" i="8"/>
  <c r="R878" i="8"/>
  <c r="R877" i="8"/>
  <c r="R876" i="8"/>
  <c r="R875" i="8"/>
  <c r="R874" i="8"/>
  <c r="R873" i="8"/>
  <c r="R872" i="8"/>
  <c r="R871" i="8"/>
  <c r="R870" i="8"/>
  <c r="R869" i="8"/>
  <c r="R868" i="8"/>
  <c r="R867" i="8"/>
  <c r="R866" i="8"/>
  <c r="R865" i="8"/>
  <c r="R864" i="8"/>
  <c r="R863" i="8"/>
  <c r="R862" i="8"/>
  <c r="R861" i="8"/>
  <c r="R860" i="8"/>
  <c r="R859" i="8"/>
  <c r="R858" i="8"/>
  <c r="R857" i="8"/>
  <c r="R856" i="8"/>
  <c r="R855" i="8"/>
  <c r="R854" i="8"/>
  <c r="R853" i="8"/>
  <c r="R852" i="8"/>
  <c r="R851" i="8"/>
  <c r="R850" i="8"/>
  <c r="R849" i="8"/>
  <c r="R848" i="8"/>
  <c r="R847" i="8"/>
  <c r="R846" i="8"/>
  <c r="R845" i="8"/>
  <c r="R844" i="8"/>
  <c r="R843" i="8"/>
  <c r="R842" i="8"/>
  <c r="R841" i="8"/>
  <c r="R840" i="8"/>
  <c r="R839" i="8"/>
  <c r="R838" i="8"/>
  <c r="R837" i="8"/>
  <c r="R836" i="8"/>
  <c r="R835" i="8"/>
  <c r="R834" i="8"/>
  <c r="R833" i="8"/>
  <c r="R832" i="8"/>
  <c r="R831" i="8"/>
  <c r="R830" i="8"/>
  <c r="R829" i="8"/>
  <c r="R828" i="8"/>
  <c r="R827" i="8"/>
  <c r="R826" i="8"/>
  <c r="R825" i="8"/>
  <c r="R824" i="8"/>
  <c r="R823" i="8"/>
  <c r="R822" i="8"/>
  <c r="R821" i="8"/>
  <c r="R820" i="8"/>
  <c r="R819" i="8"/>
  <c r="R818" i="8"/>
  <c r="R817" i="8"/>
  <c r="R816" i="8"/>
  <c r="R815" i="8"/>
  <c r="R814" i="8"/>
  <c r="R813" i="8"/>
  <c r="R812" i="8"/>
  <c r="Z811" i="8"/>
  <c r="Y811" i="8"/>
  <c r="X811" i="8"/>
  <c r="R811" i="8"/>
  <c r="Z810" i="8"/>
  <c r="Y810" i="8"/>
  <c r="X810" i="8"/>
  <c r="R810" i="8"/>
  <c r="Z809" i="8"/>
  <c r="Y809" i="8"/>
  <c r="X809" i="8"/>
  <c r="R809" i="8"/>
  <c r="Z808" i="8"/>
  <c r="Y808" i="8"/>
  <c r="X808" i="8"/>
  <c r="R808" i="8"/>
  <c r="Z807" i="8"/>
  <c r="Y807" i="8"/>
  <c r="X807" i="8"/>
  <c r="R807" i="8"/>
  <c r="Z806" i="8"/>
  <c r="Y806" i="8"/>
  <c r="X806" i="8"/>
  <c r="R806" i="8"/>
  <c r="Z805" i="8"/>
  <c r="Y805" i="8"/>
  <c r="X805" i="8"/>
  <c r="R805" i="8"/>
  <c r="Z804" i="8"/>
  <c r="Y804" i="8"/>
  <c r="X804" i="8"/>
  <c r="R804" i="8"/>
  <c r="Z803" i="8"/>
  <c r="Y803" i="8"/>
  <c r="X803" i="8"/>
  <c r="R803" i="8"/>
  <c r="Z802" i="8"/>
  <c r="Y802" i="8"/>
  <c r="X802" i="8"/>
  <c r="R802" i="8"/>
  <c r="Z801" i="8"/>
  <c r="Y801" i="8"/>
  <c r="X801" i="8"/>
  <c r="R801" i="8"/>
  <c r="Z800" i="8"/>
  <c r="Y800" i="8"/>
  <c r="X800" i="8"/>
  <c r="R800" i="8"/>
  <c r="Z799" i="8"/>
  <c r="Y799" i="8"/>
  <c r="X799" i="8"/>
  <c r="R799" i="8"/>
  <c r="Z798" i="8"/>
  <c r="Y798" i="8"/>
  <c r="X798" i="8"/>
  <c r="R798" i="8"/>
  <c r="Z797" i="8"/>
  <c r="Y797" i="8"/>
  <c r="X797" i="8"/>
  <c r="R797" i="8"/>
  <c r="Z796" i="8"/>
  <c r="Y796" i="8"/>
  <c r="X796" i="8"/>
  <c r="R796" i="8"/>
  <c r="Z795" i="8"/>
  <c r="Y795" i="8"/>
  <c r="X795" i="8"/>
  <c r="R795" i="8"/>
  <c r="Z794" i="8"/>
  <c r="Y794" i="8"/>
  <c r="X794" i="8"/>
  <c r="R794" i="8"/>
  <c r="Z793" i="8"/>
  <c r="Y793" i="8"/>
  <c r="X793" i="8"/>
  <c r="R793" i="8"/>
  <c r="Z792" i="8"/>
  <c r="Y792" i="8"/>
  <c r="X792" i="8"/>
  <c r="R792" i="8"/>
  <c r="Z791" i="8"/>
  <c r="Y791" i="8"/>
  <c r="X791" i="8"/>
  <c r="R791" i="8"/>
  <c r="Z790" i="8"/>
  <c r="Y790" i="8"/>
  <c r="X790" i="8"/>
  <c r="R790" i="8"/>
  <c r="Z789" i="8"/>
  <c r="Y789" i="8"/>
  <c r="X789" i="8"/>
  <c r="R789" i="8"/>
  <c r="Z788" i="8"/>
  <c r="Y788" i="8"/>
  <c r="X788" i="8"/>
  <c r="R788" i="8"/>
  <c r="Z787" i="8"/>
  <c r="Y787" i="8"/>
  <c r="X787" i="8"/>
  <c r="R787" i="8"/>
  <c r="Z786" i="8"/>
  <c r="Y786" i="8"/>
  <c r="X786" i="8"/>
  <c r="R786" i="8"/>
  <c r="Z785" i="8"/>
  <c r="Y785" i="8"/>
  <c r="X785" i="8"/>
  <c r="R785" i="8"/>
  <c r="Z784" i="8"/>
  <c r="Y784" i="8"/>
  <c r="X784" i="8"/>
  <c r="R784" i="8"/>
  <c r="Z783" i="8"/>
  <c r="Y783" i="8"/>
  <c r="X783" i="8"/>
  <c r="R783" i="8"/>
  <c r="Z782" i="8"/>
  <c r="Y782" i="8"/>
  <c r="X782" i="8"/>
  <c r="R782" i="8"/>
  <c r="Z781" i="8"/>
  <c r="Y781" i="8"/>
  <c r="X781" i="8"/>
  <c r="R781" i="8"/>
  <c r="Z780" i="8"/>
  <c r="Y780" i="8"/>
  <c r="X780" i="8"/>
  <c r="R780" i="8"/>
  <c r="Z779" i="8"/>
  <c r="Y779" i="8"/>
  <c r="X779" i="8"/>
  <c r="R779" i="8"/>
  <c r="Z778" i="8"/>
  <c r="Y778" i="8"/>
  <c r="X778" i="8"/>
  <c r="R778" i="8"/>
  <c r="Z777" i="8"/>
  <c r="Y777" i="8"/>
  <c r="X777" i="8"/>
  <c r="R777" i="8"/>
  <c r="Z776" i="8"/>
  <c r="Y776" i="8"/>
  <c r="X776" i="8"/>
  <c r="R776" i="8"/>
  <c r="Z775" i="8"/>
  <c r="Y775" i="8"/>
  <c r="X775" i="8"/>
  <c r="R775" i="8"/>
  <c r="Z774" i="8"/>
  <c r="Y774" i="8"/>
  <c r="X774" i="8"/>
  <c r="R774" i="8"/>
  <c r="Z773" i="8"/>
  <c r="Y773" i="8"/>
  <c r="X773" i="8"/>
  <c r="R773" i="8"/>
  <c r="Z772" i="8"/>
  <c r="Y772" i="8"/>
  <c r="X772" i="8"/>
  <c r="R772" i="8"/>
  <c r="Z771" i="8"/>
  <c r="Y771" i="8"/>
  <c r="X771" i="8"/>
  <c r="R771" i="8"/>
  <c r="Z770" i="8"/>
  <c r="Y770" i="8"/>
  <c r="X770" i="8"/>
  <c r="R770" i="8"/>
  <c r="Z769" i="8"/>
  <c r="Y769" i="8"/>
  <c r="X769" i="8"/>
  <c r="R769" i="8"/>
  <c r="Z768" i="8"/>
  <c r="Y768" i="8"/>
  <c r="X768" i="8"/>
  <c r="R768" i="8"/>
  <c r="Z767" i="8"/>
  <c r="Y767" i="8"/>
  <c r="X767" i="8"/>
  <c r="R767" i="8"/>
  <c r="Z766" i="8"/>
  <c r="Y766" i="8"/>
  <c r="X766" i="8"/>
  <c r="R766" i="8"/>
  <c r="Z765" i="8"/>
  <c r="Y765" i="8"/>
  <c r="X765" i="8"/>
  <c r="R765" i="8"/>
  <c r="Z764" i="8"/>
  <c r="Y764" i="8"/>
  <c r="X764" i="8"/>
  <c r="R764" i="8"/>
  <c r="Z763" i="8"/>
  <c r="Y763" i="8"/>
  <c r="X763" i="8"/>
  <c r="R763" i="8"/>
  <c r="Z762" i="8"/>
  <c r="Y762" i="8"/>
  <c r="X762" i="8"/>
  <c r="R762" i="8"/>
  <c r="Z761" i="8"/>
  <c r="Y761" i="8"/>
  <c r="X761" i="8"/>
  <c r="R761" i="8"/>
  <c r="Z760" i="8"/>
  <c r="Y760" i="8"/>
  <c r="X760" i="8"/>
  <c r="R760" i="8"/>
  <c r="Z759" i="8"/>
  <c r="Y759" i="8"/>
  <c r="X759" i="8"/>
  <c r="R759" i="8"/>
  <c r="Z758" i="8"/>
  <c r="Y758" i="8"/>
  <c r="X758" i="8"/>
  <c r="R758" i="8"/>
  <c r="Z757" i="8"/>
  <c r="Y757" i="8"/>
  <c r="X757" i="8"/>
  <c r="R757" i="8"/>
  <c r="Z756" i="8"/>
  <c r="Y756" i="8"/>
  <c r="X756" i="8"/>
  <c r="R756" i="8"/>
  <c r="Z755" i="8"/>
  <c r="Y755" i="8"/>
  <c r="X755" i="8"/>
  <c r="R755" i="8"/>
  <c r="Z754" i="8"/>
  <c r="Y754" i="8"/>
  <c r="X754" i="8"/>
  <c r="R754" i="8"/>
  <c r="Z753" i="8"/>
  <c r="Y753" i="8"/>
  <c r="X753" i="8"/>
  <c r="R753" i="8"/>
  <c r="Z752" i="8"/>
  <c r="Y752" i="8"/>
  <c r="X752" i="8"/>
  <c r="R752" i="8"/>
  <c r="Z751" i="8"/>
  <c r="Y751" i="8"/>
  <c r="X751" i="8"/>
  <c r="R751" i="8"/>
  <c r="Z750" i="8"/>
  <c r="Y750" i="8"/>
  <c r="X750" i="8"/>
  <c r="R750" i="8"/>
  <c r="Z749" i="8"/>
  <c r="Y749" i="8"/>
  <c r="X749" i="8"/>
  <c r="R749" i="8"/>
  <c r="Z748" i="8"/>
  <c r="Y748" i="8"/>
  <c r="X748" i="8"/>
  <c r="R748" i="8"/>
  <c r="Z747" i="8"/>
  <c r="Y747" i="8"/>
  <c r="X747" i="8"/>
  <c r="R747" i="8"/>
  <c r="Z746" i="8"/>
  <c r="Y746" i="8"/>
  <c r="X746" i="8"/>
  <c r="R746" i="8"/>
  <c r="Z745" i="8"/>
  <c r="Y745" i="8"/>
  <c r="X745" i="8"/>
  <c r="R745" i="8"/>
  <c r="Z744" i="8"/>
  <c r="Y744" i="8"/>
  <c r="X744" i="8"/>
  <c r="R744" i="8"/>
  <c r="Z743" i="8"/>
  <c r="Y743" i="8"/>
  <c r="X743" i="8"/>
  <c r="R743" i="8"/>
  <c r="Z742" i="8"/>
  <c r="Y742" i="8"/>
  <c r="X742" i="8"/>
  <c r="R742" i="8"/>
  <c r="Z741" i="8"/>
  <c r="Y741" i="8"/>
  <c r="X741" i="8"/>
  <c r="R741" i="8"/>
  <c r="Z740" i="8"/>
  <c r="Y740" i="8"/>
  <c r="X740" i="8"/>
  <c r="R740" i="8"/>
  <c r="Z739" i="8"/>
  <c r="Y739" i="8"/>
  <c r="X739" i="8"/>
  <c r="R739" i="8"/>
  <c r="Z738" i="8"/>
  <c r="Y738" i="8"/>
  <c r="X738" i="8"/>
  <c r="R738" i="8"/>
  <c r="Z737" i="8"/>
  <c r="Y737" i="8"/>
  <c r="X737" i="8"/>
  <c r="R737" i="8"/>
  <c r="Z736" i="8"/>
  <c r="Y736" i="8"/>
  <c r="X736" i="8"/>
  <c r="R736" i="8"/>
  <c r="Z735" i="8"/>
  <c r="Y735" i="8"/>
  <c r="X735" i="8"/>
  <c r="R735" i="8"/>
  <c r="Z734" i="8"/>
  <c r="Y734" i="8"/>
  <c r="X734" i="8"/>
  <c r="R734" i="8"/>
  <c r="Z733" i="8"/>
  <c r="Y733" i="8"/>
  <c r="X733" i="8"/>
  <c r="R733" i="8"/>
  <c r="Z732" i="8"/>
  <c r="Y732" i="8"/>
  <c r="X732" i="8"/>
  <c r="R732" i="8"/>
  <c r="Z731" i="8"/>
  <c r="Y731" i="8"/>
  <c r="X731" i="8"/>
  <c r="R731" i="8"/>
  <c r="Z730" i="8"/>
  <c r="Y730" i="8"/>
  <c r="X730" i="8"/>
  <c r="R730" i="8"/>
  <c r="Z729" i="8"/>
  <c r="Y729" i="8"/>
  <c r="X729" i="8"/>
  <c r="R729" i="8"/>
  <c r="Z728" i="8"/>
  <c r="Y728" i="8"/>
  <c r="X728" i="8"/>
  <c r="R728" i="8"/>
  <c r="Z727" i="8"/>
  <c r="Y727" i="8"/>
  <c r="X727" i="8"/>
  <c r="R727" i="8"/>
  <c r="Z726" i="8"/>
  <c r="Y726" i="8"/>
  <c r="X726" i="8"/>
  <c r="R726" i="8"/>
  <c r="Z725" i="8"/>
  <c r="Y725" i="8"/>
  <c r="X725" i="8"/>
  <c r="R725" i="8"/>
  <c r="Z724" i="8"/>
  <c r="Y724" i="8"/>
  <c r="X724" i="8"/>
  <c r="R724" i="8"/>
  <c r="Z723" i="8"/>
  <c r="Y723" i="8"/>
  <c r="X723" i="8"/>
  <c r="R723" i="8"/>
  <c r="Z722" i="8"/>
  <c r="Y722" i="8"/>
  <c r="X722" i="8"/>
  <c r="R722" i="8"/>
  <c r="Z721" i="8"/>
  <c r="Y721" i="8"/>
  <c r="X721" i="8"/>
  <c r="R721" i="8"/>
  <c r="Z720" i="8"/>
  <c r="Y720" i="8"/>
  <c r="X720" i="8"/>
  <c r="R720" i="8"/>
  <c r="Z719" i="8"/>
  <c r="Y719" i="8"/>
  <c r="X719" i="8"/>
  <c r="R719" i="8"/>
  <c r="Z718" i="8"/>
  <c r="Y718" i="8"/>
  <c r="X718" i="8"/>
  <c r="R718" i="8"/>
  <c r="Z717" i="8"/>
  <c r="Y717" i="8"/>
  <c r="X717" i="8"/>
  <c r="R717" i="8"/>
  <c r="Z716" i="8"/>
  <c r="Y716" i="8"/>
  <c r="X716" i="8"/>
  <c r="R716" i="8"/>
  <c r="Z715" i="8"/>
  <c r="Y715" i="8"/>
  <c r="X715" i="8"/>
  <c r="R715" i="8"/>
  <c r="Z714" i="8"/>
  <c r="Y714" i="8"/>
  <c r="X714" i="8"/>
  <c r="R714" i="8"/>
  <c r="Z713" i="8"/>
  <c r="Y713" i="8"/>
  <c r="X713" i="8"/>
  <c r="R713" i="8"/>
  <c r="Z712" i="8"/>
  <c r="Y712" i="8"/>
  <c r="X712" i="8"/>
  <c r="R712" i="8"/>
  <c r="Z711" i="8"/>
  <c r="Y711" i="8"/>
  <c r="X711" i="8"/>
  <c r="R711" i="8"/>
  <c r="Z710" i="8"/>
  <c r="Y710" i="8"/>
  <c r="X710" i="8"/>
  <c r="R710" i="8"/>
  <c r="Z709" i="8"/>
  <c r="Y709" i="8"/>
  <c r="X709" i="8"/>
  <c r="R709" i="8"/>
  <c r="Z708" i="8"/>
  <c r="Y708" i="8"/>
  <c r="X708" i="8"/>
  <c r="R708" i="8"/>
  <c r="Z707" i="8"/>
  <c r="Y707" i="8"/>
  <c r="X707" i="8"/>
  <c r="R707" i="8"/>
  <c r="Z706" i="8"/>
  <c r="Y706" i="8"/>
  <c r="X706" i="8"/>
  <c r="R706" i="8"/>
  <c r="Z705" i="8"/>
  <c r="Y705" i="8"/>
  <c r="X705" i="8"/>
  <c r="R705" i="8"/>
  <c r="Z704" i="8"/>
  <c r="Y704" i="8"/>
  <c r="X704" i="8"/>
  <c r="R704" i="8"/>
  <c r="Z703" i="8"/>
  <c r="Y703" i="8"/>
  <c r="X703" i="8"/>
  <c r="R703" i="8"/>
  <c r="Z702" i="8"/>
  <c r="Y702" i="8"/>
  <c r="X702" i="8"/>
  <c r="R702" i="8"/>
  <c r="Z701" i="8"/>
  <c r="Y701" i="8"/>
  <c r="X701" i="8"/>
  <c r="R701" i="8"/>
  <c r="Z700" i="8"/>
  <c r="Y700" i="8"/>
  <c r="X700" i="8"/>
  <c r="R700" i="8"/>
  <c r="Z699" i="8"/>
  <c r="Y699" i="8"/>
  <c r="X699" i="8"/>
  <c r="R699" i="8"/>
  <c r="Z698" i="8"/>
  <c r="Y698" i="8"/>
  <c r="X698" i="8"/>
  <c r="R698" i="8"/>
  <c r="Z697" i="8"/>
  <c r="Y697" i="8"/>
  <c r="X697" i="8"/>
  <c r="R697" i="8"/>
  <c r="Z696" i="8"/>
  <c r="Y696" i="8"/>
  <c r="X696" i="8"/>
  <c r="R696" i="8"/>
  <c r="Z695" i="8"/>
  <c r="Y695" i="8"/>
  <c r="X695" i="8"/>
  <c r="R695" i="8"/>
  <c r="Z694" i="8"/>
  <c r="Y694" i="8"/>
  <c r="X694" i="8"/>
  <c r="R694" i="8"/>
  <c r="Z693" i="8"/>
  <c r="Y693" i="8"/>
  <c r="X693" i="8"/>
  <c r="R693" i="8"/>
  <c r="Z692" i="8"/>
  <c r="Y692" i="8"/>
  <c r="X692" i="8"/>
  <c r="R692" i="8"/>
  <c r="Z691" i="8"/>
  <c r="Y691" i="8"/>
  <c r="X691" i="8"/>
  <c r="R691" i="8"/>
  <c r="Z690" i="8"/>
  <c r="Y690" i="8"/>
  <c r="X690" i="8"/>
  <c r="R690" i="8"/>
  <c r="Z689" i="8"/>
  <c r="Y689" i="8"/>
  <c r="X689" i="8"/>
  <c r="R689" i="8"/>
  <c r="Z688" i="8"/>
  <c r="Y688" i="8"/>
  <c r="X688" i="8"/>
  <c r="R688" i="8"/>
  <c r="Z687" i="8"/>
  <c r="Y687" i="8"/>
  <c r="X687" i="8"/>
  <c r="R687" i="8"/>
  <c r="Z686" i="8"/>
  <c r="Y686" i="8"/>
  <c r="X686" i="8"/>
  <c r="R686" i="8"/>
  <c r="Z685" i="8"/>
  <c r="Y685" i="8"/>
  <c r="X685" i="8"/>
  <c r="R685" i="8"/>
  <c r="Z684" i="8"/>
  <c r="Y684" i="8"/>
  <c r="X684" i="8"/>
  <c r="R684" i="8"/>
  <c r="Z683" i="8"/>
  <c r="Y683" i="8"/>
  <c r="X683" i="8"/>
  <c r="R683" i="8"/>
  <c r="Z682" i="8"/>
  <c r="Y682" i="8"/>
  <c r="X682" i="8"/>
  <c r="R682" i="8"/>
  <c r="Z681" i="8"/>
  <c r="Y681" i="8"/>
  <c r="X681" i="8"/>
  <c r="R681" i="8"/>
  <c r="Z680" i="8"/>
  <c r="Y680" i="8"/>
  <c r="X680" i="8"/>
  <c r="R680" i="8"/>
  <c r="Z679" i="8"/>
  <c r="Y679" i="8"/>
  <c r="X679" i="8"/>
  <c r="R679" i="8"/>
  <c r="Z678" i="8"/>
  <c r="Y678" i="8"/>
  <c r="X678" i="8"/>
  <c r="R678" i="8"/>
  <c r="Z677" i="8"/>
  <c r="Y677" i="8"/>
  <c r="X677" i="8"/>
  <c r="R677" i="8"/>
  <c r="Z676" i="8"/>
  <c r="Y676" i="8"/>
  <c r="X676" i="8"/>
  <c r="R676" i="8"/>
  <c r="Z675" i="8"/>
  <c r="Y675" i="8"/>
  <c r="X675" i="8"/>
  <c r="R675" i="8"/>
  <c r="Z674" i="8"/>
  <c r="Y674" i="8"/>
  <c r="X674" i="8"/>
  <c r="R674" i="8"/>
  <c r="Z673" i="8"/>
  <c r="Y673" i="8"/>
  <c r="X673" i="8"/>
  <c r="R673" i="8"/>
  <c r="Z672" i="8"/>
  <c r="Y672" i="8"/>
  <c r="X672" i="8"/>
  <c r="R672" i="8"/>
  <c r="Z671" i="8"/>
  <c r="Y671" i="8"/>
  <c r="X671" i="8"/>
  <c r="R671" i="8"/>
  <c r="Z670" i="8"/>
  <c r="Y670" i="8"/>
  <c r="X670" i="8"/>
  <c r="R670" i="8"/>
  <c r="Z669" i="8"/>
  <c r="Y669" i="8"/>
  <c r="X669" i="8"/>
  <c r="R669" i="8"/>
  <c r="Z668" i="8"/>
  <c r="Y668" i="8"/>
  <c r="X668" i="8"/>
  <c r="R668" i="8"/>
  <c r="Z667" i="8"/>
  <c r="Y667" i="8"/>
  <c r="X667" i="8"/>
  <c r="R667" i="8"/>
  <c r="Z666" i="8"/>
  <c r="Y666" i="8"/>
  <c r="X666" i="8"/>
  <c r="R666" i="8"/>
  <c r="Z665" i="8"/>
  <c r="Y665" i="8"/>
  <c r="X665" i="8"/>
  <c r="R665" i="8"/>
  <c r="Z664" i="8"/>
  <c r="Y664" i="8"/>
  <c r="X664" i="8"/>
  <c r="R664" i="8"/>
  <c r="Z663" i="8"/>
  <c r="Y663" i="8"/>
  <c r="X663" i="8"/>
  <c r="R663" i="8"/>
  <c r="Z662" i="8"/>
  <c r="Y662" i="8"/>
  <c r="X662" i="8"/>
  <c r="R662" i="8"/>
  <c r="Z661" i="8"/>
  <c r="Y661" i="8"/>
  <c r="X661" i="8"/>
  <c r="R661" i="8"/>
  <c r="Z660" i="8"/>
  <c r="Y660" i="8"/>
  <c r="X660" i="8"/>
  <c r="R660" i="8"/>
  <c r="Z659" i="8"/>
  <c r="Y659" i="8"/>
  <c r="X659" i="8"/>
  <c r="R659" i="8"/>
  <c r="Z658" i="8"/>
  <c r="Y658" i="8"/>
  <c r="X658" i="8"/>
  <c r="R658" i="8"/>
  <c r="Z657" i="8"/>
  <c r="Y657" i="8"/>
  <c r="X657" i="8"/>
  <c r="R657" i="8"/>
  <c r="Z656" i="8"/>
  <c r="Y656" i="8"/>
  <c r="X656" i="8"/>
  <c r="R656" i="8"/>
  <c r="Z655" i="8"/>
  <c r="Y655" i="8"/>
  <c r="X655" i="8"/>
  <c r="R655" i="8"/>
  <c r="Z654" i="8"/>
  <c r="Y654" i="8"/>
  <c r="X654" i="8"/>
  <c r="R654" i="8"/>
  <c r="Z653" i="8"/>
  <c r="Y653" i="8"/>
  <c r="X653" i="8"/>
  <c r="R653" i="8"/>
  <c r="Z652" i="8"/>
  <c r="Y652" i="8"/>
  <c r="X652" i="8"/>
  <c r="R652" i="8"/>
  <c r="Z651" i="8"/>
  <c r="Y651" i="8"/>
  <c r="X651" i="8"/>
  <c r="R651" i="8"/>
  <c r="Z650" i="8"/>
  <c r="Y650" i="8"/>
  <c r="X650" i="8"/>
  <c r="R650" i="8"/>
  <c r="Z649" i="8"/>
  <c r="Y649" i="8"/>
  <c r="X649" i="8"/>
  <c r="R649" i="8"/>
  <c r="Z648" i="8"/>
  <c r="Y648" i="8"/>
  <c r="X648" i="8"/>
  <c r="R648" i="8"/>
  <c r="Z647" i="8"/>
  <c r="Y647" i="8"/>
  <c r="X647" i="8"/>
  <c r="R647" i="8"/>
  <c r="Z646" i="8"/>
  <c r="Y646" i="8"/>
  <c r="X646" i="8"/>
  <c r="R646" i="8"/>
  <c r="Z645" i="8"/>
  <c r="Y645" i="8"/>
  <c r="X645" i="8"/>
  <c r="R645" i="8"/>
  <c r="Z644" i="8"/>
  <c r="Y644" i="8"/>
  <c r="X644" i="8"/>
  <c r="R644" i="8"/>
  <c r="Z643" i="8"/>
  <c r="Y643" i="8"/>
  <c r="X643" i="8"/>
  <c r="R643" i="8"/>
  <c r="Z642" i="8"/>
  <c r="Y642" i="8"/>
  <c r="X642" i="8"/>
  <c r="R642" i="8"/>
  <c r="Z641" i="8"/>
  <c r="Y641" i="8"/>
  <c r="X641" i="8"/>
  <c r="R641" i="8"/>
  <c r="Z640" i="8"/>
  <c r="Y640" i="8"/>
  <c r="X640" i="8"/>
  <c r="R640" i="8"/>
  <c r="Z639" i="8"/>
  <c r="Y639" i="8"/>
  <c r="X639" i="8"/>
  <c r="R639" i="8"/>
  <c r="Z638" i="8"/>
  <c r="Y638" i="8"/>
  <c r="X638" i="8"/>
  <c r="R638" i="8"/>
  <c r="Z637" i="8"/>
  <c r="Y637" i="8"/>
  <c r="X637" i="8"/>
  <c r="R637" i="8"/>
  <c r="Z636" i="8"/>
  <c r="Y636" i="8"/>
  <c r="X636" i="8"/>
  <c r="R636" i="8"/>
  <c r="Z635" i="8"/>
  <c r="Y635" i="8"/>
  <c r="X635" i="8"/>
  <c r="R635" i="8"/>
  <c r="Z634" i="8"/>
  <c r="Y634" i="8"/>
  <c r="X634" i="8"/>
  <c r="R634" i="8"/>
  <c r="Z633" i="8"/>
  <c r="Y633" i="8"/>
  <c r="X633" i="8"/>
  <c r="R633" i="8"/>
  <c r="Z632" i="8"/>
  <c r="Y632" i="8"/>
  <c r="X632" i="8"/>
  <c r="R632" i="8"/>
  <c r="Z631" i="8"/>
  <c r="Y631" i="8"/>
  <c r="X631" i="8"/>
  <c r="R631" i="8"/>
  <c r="Z630" i="8"/>
  <c r="Y630" i="8"/>
  <c r="X630" i="8"/>
  <c r="R630" i="8"/>
  <c r="Z629" i="8"/>
  <c r="Y629" i="8"/>
  <c r="X629" i="8"/>
  <c r="R629" i="8"/>
  <c r="Z628" i="8"/>
  <c r="Y628" i="8"/>
  <c r="X628" i="8"/>
  <c r="R628" i="8"/>
  <c r="Z627" i="8"/>
  <c r="Y627" i="8"/>
  <c r="X627" i="8"/>
  <c r="R627" i="8"/>
  <c r="Z626" i="8"/>
  <c r="Y626" i="8"/>
  <c r="X626" i="8"/>
  <c r="R626" i="8"/>
  <c r="Z625" i="8"/>
  <c r="Y625" i="8"/>
  <c r="X625" i="8"/>
  <c r="R625" i="8"/>
  <c r="Z624" i="8"/>
  <c r="Y624" i="8"/>
  <c r="X624" i="8"/>
  <c r="R624" i="8"/>
  <c r="Z623" i="8"/>
  <c r="Y623" i="8"/>
  <c r="X623" i="8"/>
  <c r="R623" i="8"/>
  <c r="Z622" i="8"/>
  <c r="Y622" i="8"/>
  <c r="X622" i="8"/>
  <c r="R622" i="8"/>
  <c r="Z621" i="8"/>
  <c r="Y621" i="8"/>
  <c r="X621" i="8"/>
  <c r="R621" i="8"/>
  <c r="Z620" i="8"/>
  <c r="Y620" i="8"/>
  <c r="X620" i="8"/>
  <c r="R620" i="8"/>
  <c r="Z619" i="8"/>
  <c r="Y619" i="8"/>
  <c r="X619" i="8"/>
  <c r="R619" i="8"/>
  <c r="Z618" i="8"/>
  <c r="Y618" i="8"/>
  <c r="X618" i="8"/>
  <c r="R618" i="8"/>
  <c r="Z617" i="8"/>
  <c r="Y617" i="8"/>
  <c r="X617" i="8"/>
  <c r="R617" i="8"/>
  <c r="Z616" i="8"/>
  <c r="Y616" i="8"/>
  <c r="X616" i="8"/>
  <c r="R616" i="8"/>
  <c r="Z615" i="8"/>
  <c r="Y615" i="8"/>
  <c r="X615" i="8"/>
  <c r="R615" i="8"/>
  <c r="Z614" i="8"/>
  <c r="Y614" i="8"/>
  <c r="X614" i="8"/>
  <c r="R614" i="8"/>
  <c r="Z613" i="8"/>
  <c r="Y613" i="8"/>
  <c r="X613" i="8"/>
  <c r="R613" i="8"/>
  <c r="Z612" i="8"/>
  <c r="Y612" i="8"/>
  <c r="X612" i="8"/>
  <c r="R612" i="8"/>
  <c r="Z611" i="8"/>
  <c r="Y611" i="8"/>
  <c r="X611" i="8"/>
  <c r="R611" i="8"/>
  <c r="Z610" i="8"/>
  <c r="Y610" i="8"/>
  <c r="X610" i="8"/>
  <c r="R610" i="8"/>
  <c r="Z609" i="8"/>
  <c r="Y609" i="8"/>
  <c r="X609" i="8"/>
  <c r="R609" i="8"/>
  <c r="Z608" i="8"/>
  <c r="Y608" i="8"/>
  <c r="X608" i="8"/>
  <c r="R608" i="8"/>
  <c r="Z607" i="8"/>
  <c r="Y607" i="8"/>
  <c r="X607" i="8"/>
  <c r="R607" i="8"/>
  <c r="Z606" i="8"/>
  <c r="Y606" i="8"/>
  <c r="X606" i="8"/>
  <c r="R606" i="8"/>
  <c r="Z605" i="8"/>
  <c r="Y605" i="8"/>
  <c r="X605" i="8"/>
  <c r="R605" i="8"/>
  <c r="Z604" i="8"/>
  <c r="Y604" i="8"/>
  <c r="X604" i="8"/>
  <c r="R604" i="8"/>
  <c r="Z603" i="8"/>
  <c r="Y603" i="8"/>
  <c r="X603" i="8"/>
  <c r="R603" i="8"/>
  <c r="Z602" i="8"/>
  <c r="Y602" i="8"/>
  <c r="X602" i="8"/>
  <c r="R602" i="8"/>
  <c r="Z601" i="8"/>
  <c r="Y601" i="8"/>
  <c r="X601" i="8"/>
  <c r="R601" i="8"/>
  <c r="Z600" i="8"/>
  <c r="Y600" i="8"/>
  <c r="X600" i="8"/>
  <c r="R600" i="8"/>
  <c r="Z599" i="8"/>
  <c r="Y599" i="8"/>
  <c r="X599" i="8"/>
  <c r="R599" i="8"/>
  <c r="Z598" i="8"/>
  <c r="Y598" i="8"/>
  <c r="X598" i="8"/>
  <c r="R598" i="8"/>
  <c r="Z597" i="8"/>
  <c r="Y597" i="8"/>
  <c r="X597" i="8"/>
  <c r="R597" i="8"/>
  <c r="Z596" i="8"/>
  <c r="Y596" i="8"/>
  <c r="X596" i="8"/>
  <c r="R596" i="8"/>
  <c r="Z595" i="8"/>
  <c r="Y595" i="8"/>
  <c r="X595" i="8"/>
  <c r="R595" i="8"/>
  <c r="Z594" i="8"/>
  <c r="Y594" i="8"/>
  <c r="X594" i="8"/>
  <c r="R594" i="8"/>
  <c r="Z593" i="8"/>
  <c r="Y593" i="8"/>
  <c r="X593" i="8"/>
  <c r="R593" i="8"/>
  <c r="Z592" i="8"/>
  <c r="Y592" i="8"/>
  <c r="X592" i="8"/>
  <c r="R592" i="8"/>
  <c r="Z591" i="8"/>
  <c r="Y591" i="8"/>
  <c r="X591" i="8"/>
  <c r="R591" i="8"/>
  <c r="Z590" i="8"/>
  <c r="Y590" i="8"/>
  <c r="X590" i="8"/>
  <c r="R590" i="8"/>
  <c r="Z589" i="8"/>
  <c r="Y589" i="8"/>
  <c r="X589" i="8"/>
  <c r="R589" i="8"/>
  <c r="Z588" i="8"/>
  <c r="Y588" i="8"/>
  <c r="X588" i="8"/>
  <c r="R588" i="8"/>
  <c r="Z587" i="8"/>
  <c r="Y587" i="8"/>
  <c r="X587" i="8"/>
  <c r="R587" i="8"/>
  <c r="Z586" i="8"/>
  <c r="Y586" i="8"/>
  <c r="X586" i="8"/>
  <c r="R586" i="8"/>
  <c r="Z585" i="8"/>
  <c r="Y585" i="8"/>
  <c r="X585" i="8"/>
  <c r="R585" i="8"/>
  <c r="Z584" i="8"/>
  <c r="Y584" i="8"/>
  <c r="X584" i="8"/>
  <c r="R584" i="8"/>
  <c r="Z583" i="8"/>
  <c r="Y583" i="8"/>
  <c r="X583" i="8"/>
  <c r="R583" i="8"/>
  <c r="Z582" i="8"/>
  <c r="Y582" i="8"/>
  <c r="X582" i="8"/>
  <c r="R582" i="8"/>
  <c r="Z581" i="8"/>
  <c r="Y581" i="8"/>
  <c r="X581" i="8"/>
  <c r="R581" i="8"/>
  <c r="Z580" i="8"/>
  <c r="Y580" i="8"/>
  <c r="X580" i="8"/>
  <c r="R580" i="8"/>
  <c r="Z579" i="8"/>
  <c r="Y579" i="8"/>
  <c r="X579" i="8"/>
  <c r="R579" i="8"/>
  <c r="Z578" i="8"/>
  <c r="Y578" i="8"/>
  <c r="X578" i="8"/>
  <c r="R578" i="8"/>
  <c r="Z577" i="8"/>
  <c r="Y577" i="8"/>
  <c r="X577" i="8"/>
  <c r="R577" i="8"/>
  <c r="Z576" i="8"/>
  <c r="Y576" i="8"/>
  <c r="X576" i="8"/>
  <c r="R576" i="8"/>
  <c r="Z575" i="8"/>
  <c r="Y575" i="8"/>
  <c r="X575" i="8"/>
  <c r="R575" i="8"/>
  <c r="Z574" i="8"/>
  <c r="Y574" i="8"/>
  <c r="X574" i="8"/>
  <c r="R574" i="8"/>
  <c r="Z573" i="8"/>
  <c r="Y573" i="8"/>
  <c r="X573" i="8"/>
  <c r="R573" i="8"/>
  <c r="Z572" i="8"/>
  <c r="Y572" i="8"/>
  <c r="X572" i="8"/>
  <c r="R572" i="8"/>
  <c r="Z571" i="8"/>
  <c r="Y571" i="8"/>
  <c r="X571" i="8"/>
  <c r="R571" i="8"/>
  <c r="Z570" i="8"/>
  <c r="Y570" i="8"/>
  <c r="X570" i="8"/>
  <c r="R570" i="8"/>
  <c r="Z569" i="8"/>
  <c r="Y569" i="8"/>
  <c r="X569" i="8"/>
  <c r="R569" i="8"/>
  <c r="Z568" i="8"/>
  <c r="Y568" i="8"/>
  <c r="X568" i="8"/>
  <c r="R568" i="8"/>
  <c r="Z567" i="8"/>
  <c r="Y567" i="8"/>
  <c r="X567" i="8"/>
  <c r="R567" i="8"/>
  <c r="Z566" i="8"/>
  <c r="Y566" i="8"/>
  <c r="X566" i="8"/>
  <c r="R566" i="8"/>
  <c r="Z565" i="8"/>
  <c r="Y565" i="8"/>
  <c r="X565" i="8"/>
  <c r="R565" i="8"/>
  <c r="Z564" i="8"/>
  <c r="Y564" i="8"/>
  <c r="X564" i="8"/>
  <c r="R564" i="8"/>
  <c r="Z563" i="8"/>
  <c r="Y563" i="8"/>
  <c r="X563" i="8"/>
  <c r="R563" i="8"/>
  <c r="Z562" i="8"/>
  <c r="Y562" i="8"/>
  <c r="X562" i="8"/>
  <c r="R562" i="8"/>
  <c r="Z561" i="8"/>
  <c r="Y561" i="8"/>
  <c r="X561" i="8"/>
  <c r="R561" i="8"/>
  <c r="Z560" i="8"/>
  <c r="Y560" i="8"/>
  <c r="X560" i="8"/>
  <c r="R560" i="8"/>
  <c r="Z559" i="8"/>
  <c r="Y559" i="8"/>
  <c r="X559" i="8"/>
  <c r="R559" i="8"/>
  <c r="Z558" i="8"/>
  <c r="Y558" i="8"/>
  <c r="X558" i="8"/>
  <c r="R558" i="8"/>
  <c r="Z557" i="8"/>
  <c r="Y557" i="8"/>
  <c r="X557" i="8"/>
  <c r="R557" i="8"/>
  <c r="Z556" i="8"/>
  <c r="Y556" i="8"/>
  <c r="X556" i="8"/>
  <c r="R556" i="8"/>
  <c r="Z555" i="8"/>
  <c r="Y555" i="8"/>
  <c r="X555" i="8"/>
  <c r="R555" i="8"/>
  <c r="Z554" i="8"/>
  <c r="Y554" i="8"/>
  <c r="X554" i="8"/>
  <c r="R554" i="8"/>
  <c r="Z553" i="8"/>
  <c r="Y553" i="8"/>
  <c r="X553" i="8"/>
  <c r="R553" i="8"/>
  <c r="Z552" i="8"/>
  <c r="Y552" i="8"/>
  <c r="X552" i="8"/>
  <c r="R552" i="8"/>
  <c r="Z551" i="8"/>
  <c r="Y551" i="8"/>
  <c r="X551" i="8"/>
  <c r="R551" i="8"/>
  <c r="Z550" i="8"/>
  <c r="Y550" i="8"/>
  <c r="X550" i="8"/>
  <c r="R550" i="8"/>
  <c r="Z549" i="8"/>
  <c r="Y549" i="8"/>
  <c r="X549" i="8"/>
  <c r="R549" i="8"/>
  <c r="Z548" i="8"/>
  <c r="Y548" i="8"/>
  <c r="X548" i="8"/>
  <c r="R548" i="8"/>
  <c r="Z547" i="8"/>
  <c r="Y547" i="8"/>
  <c r="X547" i="8"/>
  <c r="R547" i="8"/>
  <c r="Z546" i="8"/>
  <c r="Y546" i="8"/>
  <c r="X546" i="8"/>
  <c r="R546" i="8"/>
  <c r="Z545" i="8"/>
  <c r="Y545" i="8"/>
  <c r="X545" i="8"/>
  <c r="R545" i="8"/>
  <c r="Z544" i="8"/>
  <c r="Y544" i="8"/>
  <c r="X544" i="8"/>
  <c r="R544" i="8"/>
  <c r="Z543" i="8"/>
  <c r="Y543" i="8"/>
  <c r="X543" i="8"/>
  <c r="R543" i="8"/>
  <c r="Z542" i="8"/>
  <c r="Y542" i="8"/>
  <c r="X542" i="8"/>
  <c r="R542" i="8"/>
  <c r="Z541" i="8"/>
  <c r="Y541" i="8"/>
  <c r="X541" i="8"/>
  <c r="R541" i="8"/>
  <c r="Z540" i="8"/>
  <c r="Y540" i="8"/>
  <c r="X540" i="8"/>
  <c r="R540" i="8"/>
  <c r="Z539" i="8"/>
  <c r="Y539" i="8"/>
  <c r="X539" i="8"/>
  <c r="R539" i="8"/>
  <c r="Z538" i="8"/>
  <c r="Y538" i="8"/>
  <c r="X538" i="8"/>
  <c r="R538" i="8"/>
  <c r="Z537" i="8"/>
  <c r="Y537" i="8"/>
  <c r="X537" i="8"/>
  <c r="R537" i="8"/>
  <c r="Z536" i="8"/>
  <c r="Y536" i="8"/>
  <c r="X536" i="8"/>
  <c r="R536" i="8"/>
  <c r="Z535" i="8"/>
  <c r="Y535" i="8"/>
  <c r="X535" i="8"/>
  <c r="R535" i="8"/>
  <c r="Z534" i="8"/>
  <c r="Y534" i="8"/>
  <c r="X534" i="8"/>
  <c r="R534" i="8"/>
  <c r="Z533" i="8"/>
  <c r="Y533" i="8"/>
  <c r="X533" i="8"/>
  <c r="R533" i="8"/>
  <c r="Z532" i="8"/>
  <c r="Y532" i="8"/>
  <c r="X532" i="8"/>
  <c r="R532" i="8"/>
  <c r="Z531" i="8"/>
  <c r="Y531" i="8"/>
  <c r="X531" i="8"/>
  <c r="R531" i="8"/>
  <c r="Z530" i="8"/>
  <c r="Y530" i="8"/>
  <c r="X530" i="8"/>
  <c r="R530" i="8"/>
  <c r="Z529" i="8"/>
  <c r="Y529" i="8"/>
  <c r="X529" i="8"/>
  <c r="R529" i="8"/>
  <c r="Z528" i="8"/>
  <c r="Y528" i="8"/>
  <c r="X528" i="8"/>
  <c r="R528" i="8"/>
  <c r="Z527" i="8"/>
  <c r="Y527" i="8"/>
  <c r="X527" i="8"/>
  <c r="R527" i="8"/>
  <c r="Z526" i="8"/>
  <c r="Y526" i="8"/>
  <c r="X526" i="8"/>
  <c r="R526" i="8"/>
  <c r="Z525" i="8"/>
  <c r="Y525" i="8"/>
  <c r="X525" i="8"/>
  <c r="R525" i="8"/>
  <c r="Z524" i="8"/>
  <c r="Y524" i="8"/>
  <c r="X524" i="8"/>
  <c r="R524" i="8"/>
  <c r="Z523" i="8"/>
  <c r="Y523" i="8"/>
  <c r="X523" i="8"/>
  <c r="R523" i="8"/>
  <c r="Z522" i="8"/>
  <c r="Y522" i="8"/>
  <c r="X522" i="8"/>
  <c r="R522" i="8"/>
  <c r="Z521" i="8"/>
  <c r="Y521" i="8"/>
  <c r="X521" i="8"/>
  <c r="R521" i="8"/>
  <c r="Z520" i="8"/>
  <c r="Y520" i="8"/>
  <c r="X520" i="8"/>
  <c r="R520" i="8"/>
  <c r="Z519" i="8"/>
  <c r="Y519" i="8"/>
  <c r="X519" i="8"/>
  <c r="R519" i="8"/>
  <c r="Z518" i="8"/>
  <c r="Y518" i="8"/>
  <c r="X518" i="8"/>
  <c r="R518" i="8"/>
  <c r="Z517" i="8"/>
  <c r="Y517" i="8"/>
  <c r="X517" i="8"/>
  <c r="R517" i="8"/>
  <c r="Z516" i="8"/>
  <c r="Y516" i="8"/>
  <c r="X516" i="8"/>
  <c r="R516" i="8"/>
  <c r="Z515" i="8"/>
  <c r="Y515" i="8"/>
  <c r="X515" i="8"/>
  <c r="R515" i="8"/>
  <c r="Z514" i="8"/>
  <c r="Y514" i="8"/>
  <c r="X514" i="8"/>
  <c r="R514" i="8"/>
  <c r="Z513" i="8"/>
  <c r="Y513" i="8"/>
  <c r="X513" i="8"/>
  <c r="R513" i="8"/>
  <c r="Z512" i="8"/>
  <c r="Y512" i="8"/>
  <c r="X512" i="8"/>
  <c r="R512" i="8"/>
  <c r="Z511" i="8"/>
  <c r="Y511" i="8"/>
  <c r="X511" i="8"/>
  <c r="R511" i="8"/>
  <c r="Z510" i="8"/>
  <c r="Y510" i="8"/>
  <c r="X510" i="8"/>
  <c r="R510" i="8"/>
  <c r="Z509" i="8"/>
  <c r="Y509" i="8"/>
  <c r="X509" i="8"/>
  <c r="R509" i="8"/>
  <c r="Z508" i="8"/>
  <c r="Y508" i="8"/>
  <c r="X508" i="8"/>
  <c r="R508" i="8"/>
  <c r="Z507" i="8"/>
  <c r="Y507" i="8"/>
  <c r="X507" i="8"/>
  <c r="R507" i="8"/>
  <c r="Z506" i="8"/>
  <c r="Y506" i="8"/>
  <c r="X506" i="8"/>
  <c r="R506" i="8"/>
  <c r="Z505" i="8"/>
  <c r="Y505" i="8"/>
  <c r="X505" i="8"/>
  <c r="R505" i="8"/>
  <c r="Z504" i="8"/>
  <c r="Y504" i="8"/>
  <c r="X504" i="8"/>
  <c r="R504" i="8"/>
  <c r="Z503" i="8"/>
  <c r="Y503" i="8"/>
  <c r="X503" i="8"/>
  <c r="R503" i="8"/>
  <c r="Z502" i="8"/>
  <c r="Y502" i="8"/>
  <c r="X502" i="8"/>
  <c r="R502" i="8"/>
  <c r="Z501" i="8"/>
  <c r="Y501" i="8"/>
  <c r="X501" i="8"/>
  <c r="R501" i="8"/>
  <c r="Z500" i="8"/>
  <c r="Y500" i="8"/>
  <c r="X500" i="8"/>
  <c r="R500" i="8"/>
  <c r="Z499" i="8"/>
  <c r="Y499" i="8"/>
  <c r="X499" i="8"/>
  <c r="R499" i="8"/>
  <c r="Z498" i="8"/>
  <c r="Y498" i="8"/>
  <c r="X498" i="8"/>
  <c r="R498" i="8"/>
  <c r="Z497" i="8"/>
  <c r="Y497" i="8"/>
  <c r="X497" i="8"/>
  <c r="R497" i="8"/>
  <c r="Z496" i="8"/>
  <c r="Y496" i="8"/>
  <c r="X496" i="8"/>
  <c r="R496" i="8"/>
  <c r="Z495" i="8"/>
  <c r="Y495" i="8"/>
  <c r="X495" i="8"/>
  <c r="R495" i="8"/>
  <c r="Z494" i="8"/>
  <c r="Y494" i="8"/>
  <c r="X494" i="8"/>
  <c r="R494" i="8"/>
  <c r="Z493" i="8"/>
  <c r="Y493" i="8"/>
  <c r="X493" i="8"/>
  <c r="R493" i="8"/>
  <c r="Z492" i="8"/>
  <c r="Y492" i="8"/>
  <c r="X492" i="8"/>
  <c r="R492" i="8"/>
  <c r="Z491" i="8"/>
  <c r="Y491" i="8"/>
  <c r="X491" i="8"/>
  <c r="R491" i="8"/>
  <c r="Z490" i="8"/>
  <c r="Y490" i="8"/>
  <c r="X490" i="8"/>
  <c r="R490" i="8"/>
  <c r="Z489" i="8"/>
  <c r="Y489" i="8"/>
  <c r="X489" i="8"/>
  <c r="R489" i="8"/>
  <c r="Z488" i="8"/>
  <c r="Y488" i="8"/>
  <c r="X488" i="8"/>
  <c r="R488" i="8"/>
  <c r="Z487" i="8"/>
  <c r="Y487" i="8"/>
  <c r="X487" i="8"/>
  <c r="R487" i="8"/>
  <c r="Z486" i="8"/>
  <c r="Y486" i="8"/>
  <c r="X486" i="8"/>
  <c r="R486" i="8"/>
  <c r="Z485" i="8"/>
  <c r="Y485" i="8"/>
  <c r="X485" i="8"/>
  <c r="R485" i="8"/>
  <c r="Z484" i="8"/>
  <c r="Y484" i="8"/>
  <c r="X484" i="8"/>
  <c r="R484" i="8"/>
  <c r="Z483" i="8"/>
  <c r="Y483" i="8"/>
  <c r="X483" i="8"/>
  <c r="R483" i="8"/>
  <c r="Z482" i="8"/>
  <c r="Y482" i="8"/>
  <c r="X482" i="8"/>
  <c r="R482" i="8"/>
  <c r="Z481" i="8"/>
  <c r="Y481" i="8"/>
  <c r="X481" i="8"/>
  <c r="R481" i="8"/>
  <c r="Z480" i="8"/>
  <c r="Y480" i="8"/>
  <c r="X480" i="8"/>
  <c r="R480" i="8"/>
  <c r="Z479" i="8"/>
  <c r="Y479" i="8"/>
  <c r="X479" i="8"/>
  <c r="R479" i="8"/>
  <c r="Z478" i="8"/>
  <c r="Y478" i="8"/>
  <c r="X478" i="8"/>
  <c r="R478" i="8"/>
  <c r="Z477" i="8"/>
  <c r="Y477" i="8"/>
  <c r="X477" i="8"/>
  <c r="R477" i="8"/>
  <c r="Z476" i="8"/>
  <c r="Y476" i="8"/>
  <c r="X476" i="8"/>
  <c r="R476" i="8"/>
  <c r="Z475" i="8"/>
  <c r="Y475" i="8"/>
  <c r="X475" i="8"/>
  <c r="R475" i="8"/>
  <c r="Z474" i="8"/>
  <c r="Y474" i="8"/>
  <c r="X474" i="8"/>
  <c r="R474" i="8"/>
  <c r="Z473" i="8"/>
  <c r="Y473" i="8"/>
  <c r="X473" i="8"/>
  <c r="R473" i="8"/>
  <c r="Z472" i="8"/>
  <c r="Y472" i="8"/>
  <c r="X472" i="8"/>
  <c r="R472" i="8"/>
  <c r="Z471" i="8"/>
  <c r="Y471" i="8"/>
  <c r="X471" i="8"/>
  <c r="R471" i="8"/>
  <c r="Z470" i="8"/>
  <c r="Y470" i="8"/>
  <c r="X470" i="8"/>
  <c r="R470" i="8"/>
  <c r="Z469" i="8"/>
  <c r="Y469" i="8"/>
  <c r="X469" i="8"/>
  <c r="R469" i="8"/>
  <c r="Z468" i="8"/>
  <c r="Y468" i="8"/>
  <c r="X468" i="8"/>
  <c r="R468" i="8"/>
  <c r="Z467" i="8"/>
  <c r="Y467" i="8"/>
  <c r="X467" i="8"/>
  <c r="R467" i="8"/>
  <c r="Z466" i="8"/>
  <c r="Y466" i="8"/>
  <c r="X466" i="8"/>
  <c r="R466" i="8"/>
  <c r="Z465" i="8"/>
  <c r="Y465" i="8"/>
  <c r="X465" i="8"/>
  <c r="R465" i="8"/>
  <c r="Z464" i="8"/>
  <c r="Y464" i="8"/>
  <c r="X464" i="8"/>
  <c r="R464" i="8"/>
  <c r="Z463" i="8"/>
  <c r="Y463" i="8"/>
  <c r="X463" i="8"/>
  <c r="R463" i="8"/>
  <c r="Z462" i="8"/>
  <c r="Y462" i="8"/>
  <c r="X462" i="8"/>
  <c r="R462" i="8"/>
  <c r="Z461" i="8"/>
  <c r="Y461" i="8"/>
  <c r="X461" i="8"/>
  <c r="R461" i="8"/>
  <c r="Z460" i="8"/>
  <c r="Y460" i="8"/>
  <c r="X460" i="8"/>
  <c r="R460" i="8"/>
  <c r="Z459" i="8"/>
  <c r="Y459" i="8"/>
  <c r="X459" i="8"/>
  <c r="R459" i="8"/>
  <c r="Z458" i="8"/>
  <c r="Y458" i="8"/>
  <c r="X458" i="8"/>
  <c r="R458" i="8"/>
  <c r="Z457" i="8"/>
  <c r="Y457" i="8"/>
  <c r="X457" i="8"/>
  <c r="R457" i="8"/>
  <c r="Z456" i="8"/>
  <c r="Y456" i="8"/>
  <c r="X456" i="8"/>
  <c r="R456" i="8"/>
  <c r="Z455" i="8"/>
  <c r="Y455" i="8"/>
  <c r="X455" i="8"/>
  <c r="R455" i="8"/>
  <c r="Z454" i="8"/>
  <c r="Y454" i="8"/>
  <c r="X454" i="8"/>
  <c r="R454" i="8"/>
  <c r="Z453" i="8"/>
  <c r="Y453" i="8"/>
  <c r="X453" i="8"/>
  <c r="R453" i="8"/>
  <c r="Z452" i="8"/>
  <c r="Y452" i="8"/>
  <c r="X452" i="8"/>
  <c r="R452" i="8"/>
  <c r="Z451" i="8"/>
  <c r="Y451" i="8"/>
  <c r="X451" i="8"/>
  <c r="R451" i="8"/>
  <c r="Z450" i="8"/>
  <c r="Y450" i="8"/>
  <c r="X450" i="8"/>
  <c r="R450" i="8"/>
  <c r="Z449" i="8"/>
  <c r="Y449" i="8"/>
  <c r="X449" i="8"/>
  <c r="R449" i="8"/>
  <c r="Z448" i="8"/>
  <c r="Y448" i="8"/>
  <c r="X448" i="8"/>
  <c r="R448" i="8"/>
  <c r="Z447" i="8"/>
  <c r="Y447" i="8"/>
  <c r="X447" i="8"/>
  <c r="R447" i="8"/>
  <c r="Z446" i="8"/>
  <c r="Y446" i="8"/>
  <c r="X446" i="8"/>
  <c r="R446" i="8"/>
  <c r="Z445" i="8"/>
  <c r="Y445" i="8"/>
  <c r="X445" i="8"/>
  <c r="R445" i="8"/>
  <c r="Z444" i="8"/>
  <c r="Y444" i="8"/>
  <c r="X444" i="8"/>
  <c r="R444" i="8"/>
  <c r="Z443" i="8"/>
  <c r="Y443" i="8"/>
  <c r="X443" i="8"/>
  <c r="R443" i="8"/>
  <c r="Z442" i="8"/>
  <c r="Y442" i="8"/>
  <c r="X442" i="8"/>
  <c r="R442" i="8"/>
  <c r="Z441" i="8"/>
  <c r="Y441" i="8"/>
  <c r="X441" i="8"/>
  <c r="R441" i="8"/>
  <c r="Z440" i="8"/>
  <c r="Y440" i="8"/>
  <c r="X440" i="8"/>
  <c r="R440" i="8"/>
  <c r="Z439" i="8"/>
  <c r="Y439" i="8"/>
  <c r="X439" i="8"/>
  <c r="R439" i="8"/>
  <c r="Z438" i="8"/>
  <c r="Y438" i="8"/>
  <c r="X438" i="8"/>
  <c r="R438" i="8"/>
  <c r="Z437" i="8"/>
  <c r="Y437" i="8"/>
  <c r="X437" i="8"/>
  <c r="R437" i="8"/>
  <c r="Z436" i="8"/>
  <c r="Y436" i="8"/>
  <c r="X436" i="8"/>
  <c r="R436" i="8"/>
  <c r="Z435" i="8"/>
  <c r="Y435" i="8"/>
  <c r="X435" i="8"/>
  <c r="R435" i="8"/>
  <c r="Z434" i="8"/>
  <c r="Y434" i="8"/>
  <c r="X434" i="8"/>
  <c r="R434" i="8"/>
  <c r="Z433" i="8"/>
  <c r="Y433" i="8"/>
  <c r="X433" i="8"/>
  <c r="R433" i="8"/>
  <c r="Z432" i="8"/>
  <c r="Y432" i="8"/>
  <c r="X432" i="8"/>
  <c r="R432" i="8"/>
  <c r="Z431" i="8"/>
  <c r="Y431" i="8"/>
  <c r="X431" i="8"/>
  <c r="R431" i="8"/>
  <c r="Z430" i="8"/>
  <c r="Y430" i="8"/>
  <c r="X430" i="8"/>
  <c r="R430" i="8"/>
  <c r="Z429" i="8"/>
  <c r="Y429" i="8"/>
  <c r="X429" i="8"/>
  <c r="R429" i="8"/>
  <c r="Z428" i="8"/>
  <c r="Y428" i="8"/>
  <c r="X428" i="8"/>
  <c r="R428" i="8"/>
  <c r="Z427" i="8"/>
  <c r="Y427" i="8"/>
  <c r="X427" i="8"/>
  <c r="R427" i="8"/>
  <c r="Z426" i="8"/>
  <c r="Y426" i="8"/>
  <c r="X426" i="8"/>
  <c r="R426" i="8"/>
  <c r="Z425" i="8"/>
  <c r="Y425" i="8"/>
  <c r="X425" i="8"/>
  <c r="R425" i="8"/>
  <c r="Z424" i="8"/>
  <c r="Y424" i="8"/>
  <c r="X424" i="8"/>
  <c r="R424" i="8"/>
  <c r="Z423" i="8"/>
  <c r="Y423" i="8"/>
  <c r="X423" i="8"/>
  <c r="R423" i="8"/>
  <c r="Z422" i="8"/>
  <c r="Y422" i="8"/>
  <c r="X422" i="8"/>
  <c r="R422" i="8"/>
  <c r="Z421" i="8"/>
  <c r="Y421" i="8"/>
  <c r="X421" i="8"/>
  <c r="R421" i="8"/>
  <c r="Z420" i="8"/>
  <c r="Y420" i="8"/>
  <c r="X420" i="8"/>
  <c r="R420" i="8"/>
  <c r="Z419" i="8"/>
  <c r="Y419" i="8"/>
  <c r="X419" i="8"/>
  <c r="R419" i="8"/>
  <c r="Z418" i="8"/>
  <c r="Y418" i="8"/>
  <c r="X418" i="8"/>
  <c r="R418" i="8"/>
  <c r="Z417" i="8"/>
  <c r="Y417" i="8"/>
  <c r="X417" i="8"/>
  <c r="R417" i="8"/>
  <c r="Z416" i="8"/>
  <c r="Y416" i="8"/>
  <c r="X416" i="8"/>
  <c r="R416" i="8"/>
  <c r="Z415" i="8"/>
  <c r="Y415" i="8"/>
  <c r="X415" i="8"/>
  <c r="R415" i="8"/>
  <c r="Z414" i="8"/>
  <c r="Y414" i="8"/>
  <c r="X414" i="8"/>
  <c r="R414" i="8"/>
  <c r="Z413" i="8"/>
  <c r="Y413" i="8"/>
  <c r="X413" i="8"/>
  <c r="R413" i="8"/>
  <c r="Z412" i="8"/>
  <c r="Y412" i="8"/>
  <c r="X412" i="8"/>
  <c r="R412" i="8"/>
  <c r="Z411" i="8"/>
  <c r="Y411" i="8"/>
  <c r="X411" i="8"/>
  <c r="R411" i="8"/>
  <c r="Z410" i="8"/>
  <c r="Y410" i="8"/>
  <c r="X410" i="8"/>
  <c r="R410" i="8"/>
  <c r="Z409" i="8"/>
  <c r="Y409" i="8"/>
  <c r="X409" i="8"/>
  <c r="R409" i="8"/>
  <c r="Z408" i="8"/>
  <c r="Y408" i="8"/>
  <c r="X408" i="8"/>
  <c r="R408" i="8"/>
  <c r="Z407" i="8"/>
  <c r="Y407" i="8"/>
  <c r="X407" i="8"/>
  <c r="R407" i="8"/>
  <c r="Z406" i="8"/>
  <c r="Y406" i="8"/>
  <c r="X406" i="8"/>
  <c r="R406" i="8"/>
  <c r="Z405" i="8"/>
  <c r="Y405" i="8"/>
  <c r="X405" i="8"/>
  <c r="R405" i="8"/>
  <c r="Z404" i="8"/>
  <c r="Y404" i="8"/>
  <c r="X404" i="8"/>
  <c r="R404" i="8"/>
  <c r="Z403" i="8"/>
  <c r="Y403" i="8"/>
  <c r="X403" i="8"/>
  <c r="R403" i="8"/>
  <c r="Z402" i="8"/>
  <c r="Y402" i="8"/>
  <c r="X402" i="8"/>
  <c r="R402" i="8"/>
  <c r="Z401" i="8"/>
  <c r="Y401" i="8"/>
  <c r="X401" i="8"/>
  <c r="R401" i="8"/>
  <c r="Z400" i="8"/>
  <c r="Y400" i="8"/>
  <c r="X400" i="8"/>
  <c r="R400" i="8"/>
  <c r="Z399" i="8"/>
  <c r="Y399" i="8"/>
  <c r="X399" i="8"/>
  <c r="R399" i="8"/>
  <c r="Z398" i="8"/>
  <c r="Y398" i="8"/>
  <c r="X398" i="8"/>
  <c r="R398" i="8"/>
  <c r="Z397" i="8"/>
  <c r="Y397" i="8"/>
  <c r="X397" i="8"/>
  <c r="R397" i="8"/>
  <c r="Z396" i="8"/>
  <c r="Y396" i="8"/>
  <c r="X396" i="8"/>
  <c r="R396" i="8"/>
  <c r="Z395" i="8"/>
  <c r="Y395" i="8"/>
  <c r="X395" i="8"/>
  <c r="R395" i="8"/>
  <c r="Z394" i="8"/>
  <c r="Y394" i="8"/>
  <c r="X394" i="8"/>
  <c r="R394" i="8"/>
  <c r="Z393" i="8"/>
  <c r="Y393" i="8"/>
  <c r="X393" i="8"/>
  <c r="R393" i="8"/>
  <c r="Z392" i="8"/>
  <c r="Y392" i="8"/>
  <c r="X392" i="8"/>
  <c r="R392" i="8"/>
  <c r="Z391" i="8"/>
  <c r="Y391" i="8"/>
  <c r="X391" i="8"/>
  <c r="R391" i="8"/>
  <c r="Z390" i="8"/>
  <c r="Y390" i="8"/>
  <c r="X390" i="8"/>
  <c r="R390" i="8"/>
  <c r="Z389" i="8"/>
  <c r="Y389" i="8"/>
  <c r="X389" i="8"/>
  <c r="R389" i="8"/>
  <c r="Z388" i="8"/>
  <c r="Y388" i="8"/>
  <c r="X388" i="8"/>
  <c r="R388" i="8"/>
  <c r="Z387" i="8"/>
  <c r="Y387" i="8"/>
  <c r="X387" i="8"/>
  <c r="R387" i="8"/>
  <c r="Z386" i="8"/>
  <c r="Y386" i="8"/>
  <c r="X386" i="8"/>
  <c r="R386" i="8"/>
  <c r="Z385" i="8"/>
  <c r="Y385" i="8"/>
  <c r="X385" i="8"/>
  <c r="R385" i="8"/>
  <c r="Z384" i="8"/>
  <c r="Y384" i="8"/>
  <c r="X384" i="8"/>
  <c r="R384" i="8"/>
  <c r="Z383" i="8"/>
  <c r="Y383" i="8"/>
  <c r="X383" i="8"/>
  <c r="R383" i="8"/>
  <c r="Z382" i="8"/>
  <c r="Y382" i="8"/>
  <c r="X382" i="8"/>
  <c r="R382" i="8"/>
  <c r="Z381" i="8"/>
  <c r="Y381" i="8"/>
  <c r="X381" i="8"/>
  <c r="R381" i="8"/>
  <c r="Z380" i="8"/>
  <c r="Y380" i="8"/>
  <c r="X380" i="8"/>
  <c r="R380" i="8"/>
  <c r="Z379" i="8"/>
  <c r="Y379" i="8"/>
  <c r="X379" i="8"/>
  <c r="R379" i="8"/>
  <c r="Z378" i="8"/>
  <c r="Y378" i="8"/>
  <c r="X378" i="8"/>
  <c r="R378" i="8"/>
  <c r="Z377" i="8"/>
  <c r="Y377" i="8"/>
  <c r="X377" i="8"/>
  <c r="R377" i="8"/>
  <c r="Z376" i="8"/>
  <c r="Y376" i="8"/>
  <c r="X376" i="8"/>
  <c r="R376" i="8"/>
  <c r="Z375" i="8"/>
  <c r="Y375" i="8"/>
  <c r="X375" i="8"/>
  <c r="R375" i="8"/>
  <c r="Z374" i="8"/>
  <c r="Y374" i="8"/>
  <c r="X374" i="8"/>
  <c r="R374" i="8"/>
  <c r="Z373" i="8"/>
  <c r="Y373" i="8"/>
  <c r="X373" i="8"/>
  <c r="R373" i="8"/>
  <c r="Z372" i="8"/>
  <c r="Y372" i="8"/>
  <c r="X372" i="8"/>
  <c r="R372" i="8"/>
  <c r="Z371" i="8"/>
  <c r="Y371" i="8"/>
  <c r="X371" i="8"/>
  <c r="R371" i="8"/>
  <c r="Z370" i="8"/>
  <c r="Y370" i="8"/>
  <c r="X370" i="8"/>
  <c r="R370" i="8"/>
  <c r="Z369" i="8"/>
  <c r="Y369" i="8"/>
  <c r="X369" i="8"/>
  <c r="R369" i="8"/>
  <c r="Z368" i="8"/>
  <c r="Y368" i="8"/>
  <c r="X368" i="8"/>
  <c r="R368" i="8"/>
  <c r="Z367" i="8"/>
  <c r="Y367" i="8"/>
  <c r="X367" i="8"/>
  <c r="R367" i="8"/>
  <c r="Z366" i="8"/>
  <c r="Y366" i="8"/>
  <c r="X366" i="8"/>
  <c r="R366" i="8"/>
  <c r="Z365" i="8"/>
  <c r="Y365" i="8"/>
  <c r="X365" i="8"/>
  <c r="R365" i="8"/>
  <c r="Z364" i="8"/>
  <c r="Y364" i="8"/>
  <c r="X364" i="8"/>
  <c r="R364" i="8"/>
  <c r="Z363" i="8"/>
  <c r="Y363" i="8"/>
  <c r="X363" i="8"/>
  <c r="R363" i="8"/>
  <c r="Z362" i="8"/>
  <c r="Y362" i="8"/>
  <c r="X362" i="8"/>
  <c r="R362" i="8"/>
  <c r="Z361" i="8"/>
  <c r="Y361" i="8"/>
  <c r="X361" i="8"/>
  <c r="R361" i="8"/>
  <c r="Z360" i="8"/>
  <c r="Y360" i="8"/>
  <c r="X360" i="8"/>
  <c r="R360" i="8"/>
  <c r="Z359" i="8"/>
  <c r="Y359" i="8"/>
  <c r="X359" i="8"/>
  <c r="R359" i="8"/>
  <c r="Z358" i="8"/>
  <c r="Y358" i="8"/>
  <c r="X358" i="8"/>
  <c r="R358" i="8"/>
  <c r="Z357" i="8"/>
  <c r="Y357" i="8"/>
  <c r="X357" i="8"/>
  <c r="R357" i="8"/>
  <c r="Z356" i="8"/>
  <c r="Y356" i="8"/>
  <c r="X356" i="8"/>
  <c r="R356" i="8"/>
  <c r="Z355" i="8"/>
  <c r="Y355" i="8"/>
  <c r="X355" i="8"/>
  <c r="R355" i="8"/>
  <c r="Z354" i="8"/>
  <c r="Y354" i="8"/>
  <c r="X354" i="8"/>
  <c r="R354" i="8"/>
  <c r="Z353" i="8"/>
  <c r="Y353" i="8"/>
  <c r="X353" i="8"/>
  <c r="R353" i="8"/>
  <c r="Z352" i="8"/>
  <c r="Y352" i="8"/>
  <c r="X352" i="8"/>
  <c r="R352" i="8"/>
  <c r="Z351" i="8"/>
  <c r="Y351" i="8"/>
  <c r="X351" i="8"/>
  <c r="R351" i="8"/>
  <c r="Z350" i="8"/>
  <c r="Y350" i="8"/>
  <c r="X350" i="8"/>
  <c r="R350" i="8"/>
  <c r="Z349" i="8"/>
  <c r="Y349" i="8"/>
  <c r="X349" i="8"/>
  <c r="R349" i="8"/>
  <c r="Z348" i="8"/>
  <c r="Y348" i="8"/>
  <c r="X348" i="8"/>
  <c r="R348" i="8"/>
  <c r="Z347" i="8"/>
  <c r="Y347" i="8"/>
  <c r="X347" i="8"/>
  <c r="R347" i="8"/>
  <c r="Z346" i="8"/>
  <c r="Y346" i="8"/>
  <c r="X346" i="8"/>
  <c r="R346" i="8"/>
  <c r="Z345" i="8"/>
  <c r="Y345" i="8"/>
  <c r="X345" i="8"/>
  <c r="R345" i="8"/>
  <c r="Z344" i="8"/>
  <c r="Y344" i="8"/>
  <c r="X344" i="8"/>
  <c r="R344" i="8"/>
  <c r="Z343" i="8"/>
  <c r="Y343" i="8"/>
  <c r="X343" i="8"/>
  <c r="R343" i="8"/>
  <c r="Z342" i="8"/>
  <c r="Y342" i="8"/>
  <c r="X342" i="8"/>
  <c r="R342" i="8"/>
  <c r="Z341" i="8"/>
  <c r="Y341" i="8"/>
  <c r="X341" i="8"/>
  <c r="R341" i="8"/>
  <c r="Z340" i="8"/>
  <c r="Y340" i="8"/>
  <c r="X340" i="8"/>
  <c r="R340" i="8"/>
  <c r="Z339" i="8"/>
  <c r="Y339" i="8"/>
  <c r="X339" i="8"/>
  <c r="R339" i="8"/>
  <c r="Z338" i="8"/>
  <c r="Y338" i="8"/>
  <c r="X338" i="8"/>
  <c r="R338" i="8"/>
  <c r="Z337" i="8"/>
  <c r="Y337" i="8"/>
  <c r="X337" i="8"/>
  <c r="R337" i="8"/>
  <c r="Z336" i="8"/>
  <c r="Y336" i="8"/>
  <c r="X336" i="8"/>
  <c r="R336" i="8"/>
  <c r="Z335" i="8"/>
  <c r="Y335" i="8"/>
  <c r="X335" i="8"/>
  <c r="R335" i="8"/>
  <c r="Z334" i="8"/>
  <c r="Y334" i="8"/>
  <c r="X334" i="8"/>
  <c r="R334" i="8"/>
  <c r="Z333" i="8"/>
  <c r="Y333" i="8"/>
  <c r="X333" i="8"/>
  <c r="R333" i="8"/>
  <c r="Z332" i="8"/>
  <c r="Y332" i="8"/>
  <c r="X332" i="8"/>
  <c r="R332" i="8"/>
  <c r="Z331" i="8"/>
  <c r="Y331" i="8"/>
  <c r="X331" i="8"/>
  <c r="R331" i="8"/>
  <c r="Z330" i="8"/>
  <c r="Y330" i="8"/>
  <c r="X330" i="8"/>
  <c r="R330" i="8"/>
  <c r="Z329" i="8"/>
  <c r="Y329" i="8"/>
  <c r="X329" i="8"/>
  <c r="R329" i="8"/>
  <c r="Z328" i="8"/>
  <c r="Y328" i="8"/>
  <c r="X328" i="8"/>
  <c r="R328" i="8"/>
  <c r="Z327" i="8"/>
  <c r="Y327" i="8"/>
  <c r="X327" i="8"/>
  <c r="R327" i="8"/>
  <c r="Z326" i="8"/>
  <c r="Y326" i="8"/>
  <c r="X326" i="8"/>
  <c r="R326" i="8"/>
  <c r="Z325" i="8"/>
  <c r="Y325" i="8"/>
  <c r="X325" i="8"/>
  <c r="R325" i="8"/>
  <c r="Z324" i="8"/>
  <c r="Y324" i="8"/>
  <c r="X324" i="8"/>
  <c r="R324" i="8"/>
  <c r="Z323" i="8"/>
  <c r="Y323" i="8"/>
  <c r="X323" i="8"/>
  <c r="R323" i="8"/>
  <c r="Z322" i="8"/>
  <c r="Y322" i="8"/>
  <c r="X322" i="8"/>
  <c r="R322" i="8"/>
  <c r="Z321" i="8"/>
  <c r="Y321" i="8"/>
  <c r="X321" i="8"/>
  <c r="R321" i="8"/>
  <c r="Z320" i="8"/>
  <c r="Y320" i="8"/>
  <c r="X320" i="8"/>
  <c r="R320" i="8"/>
  <c r="Z319" i="8"/>
  <c r="Y319" i="8"/>
  <c r="X319" i="8"/>
  <c r="R319" i="8"/>
  <c r="Z318" i="8"/>
  <c r="Y318" i="8"/>
  <c r="X318" i="8"/>
  <c r="R318" i="8"/>
  <c r="Z317" i="8"/>
  <c r="Y317" i="8"/>
  <c r="X317" i="8"/>
  <c r="R317" i="8"/>
  <c r="Z316" i="8"/>
  <c r="Y316" i="8"/>
  <c r="X316" i="8"/>
  <c r="R316" i="8"/>
  <c r="Z315" i="8"/>
  <c r="Y315" i="8"/>
  <c r="X315" i="8"/>
  <c r="R315" i="8"/>
  <c r="Z314" i="8"/>
  <c r="Y314" i="8"/>
  <c r="X314" i="8"/>
  <c r="R314" i="8"/>
  <c r="Z313" i="8"/>
  <c r="Y313" i="8"/>
  <c r="X313" i="8"/>
  <c r="R313" i="8"/>
  <c r="Z312" i="8"/>
  <c r="Y312" i="8"/>
  <c r="X312" i="8"/>
  <c r="R312" i="8"/>
  <c r="Z311" i="8"/>
  <c r="Y311" i="8"/>
  <c r="X311" i="8"/>
  <c r="R311" i="8"/>
  <c r="Z310" i="8"/>
  <c r="Y310" i="8"/>
  <c r="X310" i="8"/>
  <c r="R310" i="8"/>
  <c r="Z309" i="8"/>
  <c r="Y309" i="8"/>
  <c r="X309" i="8"/>
  <c r="R309" i="8"/>
  <c r="Z308" i="8"/>
  <c r="Y308" i="8"/>
  <c r="X308" i="8"/>
  <c r="R308" i="8"/>
  <c r="Z307" i="8"/>
  <c r="Y307" i="8"/>
  <c r="X307" i="8"/>
  <c r="R307" i="8"/>
  <c r="Z306" i="8"/>
  <c r="Y306" i="8"/>
  <c r="X306" i="8"/>
  <c r="R306" i="8"/>
  <c r="Z305" i="8"/>
  <c r="Y305" i="8"/>
  <c r="X305" i="8"/>
  <c r="R305" i="8"/>
  <c r="Z304" i="8"/>
  <c r="Y304" i="8"/>
  <c r="X304" i="8"/>
  <c r="R304" i="8"/>
  <c r="Z303" i="8"/>
  <c r="Y303" i="8"/>
  <c r="X303" i="8"/>
  <c r="R303" i="8"/>
  <c r="Z302" i="8"/>
  <c r="Y302" i="8"/>
  <c r="X302" i="8"/>
  <c r="R302" i="8"/>
  <c r="Z301" i="8"/>
  <c r="Y301" i="8"/>
  <c r="X301" i="8"/>
  <c r="R301" i="8"/>
  <c r="Z300" i="8"/>
  <c r="Y300" i="8"/>
  <c r="X300" i="8"/>
  <c r="R300" i="8"/>
  <c r="Z299" i="8"/>
  <c r="Y299" i="8"/>
  <c r="X299" i="8"/>
  <c r="R299" i="8"/>
  <c r="Z298" i="8"/>
  <c r="Y298" i="8"/>
  <c r="X298" i="8"/>
  <c r="R298" i="8"/>
  <c r="Z297" i="8"/>
  <c r="Y297" i="8"/>
  <c r="X297" i="8"/>
  <c r="R297" i="8"/>
  <c r="Z296" i="8"/>
  <c r="Y296" i="8"/>
  <c r="X296" i="8"/>
  <c r="R296" i="8"/>
  <c r="Z295" i="8"/>
  <c r="Y295" i="8"/>
  <c r="X295" i="8"/>
  <c r="R295" i="8"/>
  <c r="Z294" i="8"/>
  <c r="Y294" i="8"/>
  <c r="X294" i="8"/>
  <c r="R294" i="8"/>
  <c r="Z293" i="8"/>
  <c r="Y293" i="8"/>
  <c r="X293" i="8"/>
  <c r="R293" i="8"/>
  <c r="Z292" i="8"/>
  <c r="Y292" i="8"/>
  <c r="X292" i="8"/>
  <c r="R292" i="8"/>
  <c r="Z291" i="8"/>
  <c r="Y291" i="8"/>
  <c r="X291" i="8"/>
  <c r="R291" i="8"/>
  <c r="Z290" i="8"/>
  <c r="Y290" i="8"/>
  <c r="X290" i="8"/>
  <c r="R290" i="8"/>
  <c r="Z289" i="8"/>
  <c r="Y289" i="8"/>
  <c r="X289" i="8"/>
  <c r="R289" i="8"/>
  <c r="Z288" i="8"/>
  <c r="Y288" i="8"/>
  <c r="X288" i="8"/>
  <c r="R288" i="8"/>
  <c r="Z287" i="8"/>
  <c r="Y287" i="8"/>
  <c r="X287" i="8"/>
  <c r="R287" i="8"/>
  <c r="Z286" i="8"/>
  <c r="Y286" i="8"/>
  <c r="X286" i="8"/>
  <c r="R286" i="8"/>
  <c r="Z285" i="8"/>
  <c r="Y285" i="8"/>
  <c r="X285" i="8"/>
  <c r="R285" i="8"/>
  <c r="Z284" i="8"/>
  <c r="Y284" i="8"/>
  <c r="X284" i="8"/>
  <c r="R284" i="8"/>
  <c r="Z283" i="8"/>
  <c r="Y283" i="8"/>
  <c r="X283" i="8"/>
  <c r="R283" i="8"/>
  <c r="Z282" i="8"/>
  <c r="Y282" i="8"/>
  <c r="X282" i="8"/>
  <c r="R282" i="8"/>
  <c r="Z281" i="8"/>
  <c r="Y281" i="8"/>
  <c r="X281" i="8"/>
  <c r="R281" i="8"/>
  <c r="Z280" i="8"/>
  <c r="Y280" i="8"/>
  <c r="X280" i="8"/>
  <c r="R280" i="8"/>
  <c r="Z279" i="8"/>
  <c r="Y279" i="8"/>
  <c r="X279" i="8"/>
  <c r="R279" i="8"/>
  <c r="Z278" i="8"/>
  <c r="Y278" i="8"/>
  <c r="X278" i="8"/>
  <c r="R278" i="8"/>
  <c r="Z277" i="8"/>
  <c r="Y277" i="8"/>
  <c r="X277" i="8"/>
  <c r="R277" i="8"/>
  <c r="Z276" i="8"/>
  <c r="Y276" i="8"/>
  <c r="X276" i="8"/>
  <c r="R276" i="8"/>
  <c r="Z275" i="8"/>
  <c r="Y275" i="8"/>
  <c r="X275" i="8"/>
  <c r="R275" i="8"/>
  <c r="Z274" i="8"/>
  <c r="Y274" i="8"/>
  <c r="X274" i="8"/>
  <c r="R274" i="8"/>
  <c r="Z273" i="8"/>
  <c r="Y273" i="8"/>
  <c r="X273" i="8"/>
  <c r="R273" i="8"/>
  <c r="Z272" i="8"/>
  <c r="Y272" i="8"/>
  <c r="X272" i="8"/>
  <c r="R272" i="8"/>
  <c r="Z271" i="8"/>
  <c r="Y271" i="8"/>
  <c r="X271" i="8"/>
  <c r="R271" i="8"/>
  <c r="Z270" i="8"/>
  <c r="Y270" i="8"/>
  <c r="X270" i="8"/>
  <c r="R270" i="8"/>
  <c r="Z269" i="8"/>
  <c r="Y269" i="8"/>
  <c r="X269" i="8"/>
  <c r="R269" i="8"/>
  <c r="Z268" i="8"/>
  <c r="Y268" i="8"/>
  <c r="X268" i="8"/>
  <c r="R268" i="8"/>
  <c r="Z267" i="8"/>
  <c r="Y267" i="8"/>
  <c r="X267" i="8"/>
  <c r="R267" i="8"/>
  <c r="Z266" i="8"/>
  <c r="Y266" i="8"/>
  <c r="X266" i="8"/>
  <c r="R266" i="8"/>
  <c r="Z265" i="8"/>
  <c r="Y265" i="8"/>
  <c r="X265" i="8"/>
  <c r="R265" i="8"/>
  <c r="Z264" i="8"/>
  <c r="Y264" i="8"/>
  <c r="X264" i="8"/>
  <c r="R264" i="8"/>
  <c r="Z263" i="8"/>
  <c r="Y263" i="8"/>
  <c r="X263" i="8"/>
  <c r="R263" i="8"/>
  <c r="Z262" i="8"/>
  <c r="Y262" i="8"/>
  <c r="X262" i="8"/>
  <c r="R262" i="8"/>
  <c r="Z261" i="8"/>
  <c r="Y261" i="8"/>
  <c r="X261" i="8"/>
  <c r="R261" i="8"/>
  <c r="Z260" i="8"/>
  <c r="Y260" i="8"/>
  <c r="X260" i="8"/>
  <c r="R260" i="8"/>
  <c r="Z259" i="8"/>
  <c r="Y259" i="8"/>
  <c r="X259" i="8"/>
  <c r="R259" i="8"/>
  <c r="Z258" i="8"/>
  <c r="Y258" i="8"/>
  <c r="X258" i="8"/>
  <c r="R258" i="8"/>
  <c r="Z257" i="8"/>
  <c r="Y257" i="8"/>
  <c r="X257" i="8"/>
  <c r="R257" i="8"/>
  <c r="Z256" i="8"/>
  <c r="Y256" i="8"/>
  <c r="X256" i="8"/>
  <c r="R256" i="8"/>
  <c r="Z255" i="8"/>
  <c r="Y255" i="8"/>
  <c r="X255" i="8"/>
  <c r="R255" i="8"/>
  <c r="Z254" i="8"/>
  <c r="Y254" i="8"/>
  <c r="X254" i="8"/>
  <c r="R254" i="8"/>
  <c r="Z253" i="8"/>
  <c r="Y253" i="8"/>
  <c r="X253" i="8"/>
  <c r="R253" i="8"/>
  <c r="Z252" i="8"/>
  <c r="Y252" i="8"/>
  <c r="X252" i="8"/>
  <c r="R252" i="8"/>
  <c r="Z251" i="8"/>
  <c r="Y251" i="8"/>
  <c r="X251" i="8"/>
  <c r="R251" i="8"/>
  <c r="Z250" i="8"/>
  <c r="Y250" i="8"/>
  <c r="X250" i="8"/>
  <c r="R250" i="8"/>
  <c r="Z249" i="8"/>
  <c r="Y249" i="8"/>
  <c r="X249" i="8"/>
  <c r="R249" i="8"/>
  <c r="Z248" i="8"/>
  <c r="Y248" i="8"/>
  <c r="X248" i="8"/>
  <c r="R248" i="8"/>
  <c r="Z247" i="8"/>
  <c r="Y247" i="8"/>
  <c r="X247" i="8"/>
  <c r="R247" i="8"/>
  <c r="Z246" i="8"/>
  <c r="Y246" i="8"/>
  <c r="X246" i="8"/>
  <c r="R246" i="8"/>
  <c r="Z245" i="8"/>
  <c r="Y245" i="8"/>
  <c r="X245" i="8"/>
  <c r="R245" i="8"/>
  <c r="Z244" i="8"/>
  <c r="Y244" i="8"/>
  <c r="X244" i="8"/>
  <c r="R244" i="8"/>
  <c r="Z243" i="8"/>
  <c r="Y243" i="8"/>
  <c r="X243" i="8"/>
  <c r="R243" i="8"/>
  <c r="Z242" i="8"/>
  <c r="Y242" i="8"/>
  <c r="X242" i="8"/>
  <c r="R242" i="8"/>
  <c r="Z241" i="8"/>
  <c r="Y241" i="8"/>
  <c r="X241" i="8"/>
  <c r="R241" i="8"/>
  <c r="Z240" i="8"/>
  <c r="Y240" i="8"/>
  <c r="X240" i="8"/>
  <c r="R240" i="8"/>
  <c r="Z239" i="8"/>
  <c r="Y239" i="8"/>
  <c r="X239" i="8"/>
  <c r="R239" i="8"/>
  <c r="Z238" i="8"/>
  <c r="Y238" i="8"/>
  <c r="X238" i="8"/>
  <c r="R238" i="8"/>
  <c r="Z237" i="8"/>
  <c r="Y237" i="8"/>
  <c r="X237" i="8"/>
  <c r="R237" i="8"/>
  <c r="Z236" i="8"/>
  <c r="Y236" i="8"/>
  <c r="X236" i="8"/>
  <c r="R236" i="8"/>
  <c r="Z235" i="8"/>
  <c r="Y235" i="8"/>
  <c r="X235" i="8"/>
  <c r="R235" i="8"/>
  <c r="Z234" i="8"/>
  <c r="Y234" i="8"/>
  <c r="X234" i="8"/>
  <c r="R234" i="8"/>
  <c r="Z233" i="8"/>
  <c r="Y233" i="8"/>
  <c r="X233" i="8"/>
  <c r="R233" i="8"/>
  <c r="Z232" i="8"/>
  <c r="Y232" i="8"/>
  <c r="X232" i="8"/>
  <c r="R232" i="8"/>
  <c r="Z231" i="8"/>
  <c r="Y231" i="8"/>
  <c r="X231" i="8"/>
  <c r="R231" i="8"/>
  <c r="Z230" i="8"/>
  <c r="Y230" i="8"/>
  <c r="X230" i="8"/>
  <c r="R230" i="8"/>
  <c r="Z229" i="8"/>
  <c r="Y229" i="8"/>
  <c r="X229" i="8"/>
  <c r="R229" i="8"/>
  <c r="Z228" i="8"/>
  <c r="Y228" i="8"/>
  <c r="X228" i="8"/>
  <c r="R228" i="8"/>
  <c r="Z227" i="8"/>
  <c r="Y227" i="8"/>
  <c r="X227" i="8"/>
  <c r="R227" i="8"/>
  <c r="Z226" i="8"/>
  <c r="Y226" i="8"/>
  <c r="X226" i="8"/>
  <c r="R226" i="8"/>
  <c r="Z225" i="8"/>
  <c r="Y225" i="8"/>
  <c r="X225" i="8"/>
  <c r="R225" i="8"/>
  <c r="Z224" i="8"/>
  <c r="Y224" i="8"/>
  <c r="X224" i="8"/>
  <c r="R224" i="8"/>
  <c r="Z223" i="8"/>
  <c r="Y223" i="8"/>
  <c r="X223" i="8"/>
  <c r="R223" i="8"/>
  <c r="Z222" i="8"/>
  <c r="Y222" i="8"/>
  <c r="X222" i="8"/>
  <c r="R222" i="8"/>
  <c r="Z221" i="8"/>
  <c r="Y221" i="8"/>
  <c r="X221" i="8"/>
  <c r="R221" i="8"/>
  <c r="Z220" i="8"/>
  <c r="Y220" i="8"/>
  <c r="X220" i="8"/>
  <c r="R220" i="8"/>
  <c r="Z219" i="8"/>
  <c r="Y219" i="8"/>
  <c r="X219" i="8"/>
  <c r="R219" i="8"/>
  <c r="Z218" i="8"/>
  <c r="Y218" i="8"/>
  <c r="X218" i="8"/>
  <c r="R218" i="8"/>
  <c r="Z217" i="8"/>
  <c r="Y217" i="8"/>
  <c r="X217" i="8"/>
  <c r="R217" i="8"/>
  <c r="Z216" i="8"/>
  <c r="Y216" i="8"/>
  <c r="X216" i="8"/>
  <c r="R216" i="8"/>
  <c r="Z215" i="8"/>
  <c r="Y215" i="8"/>
  <c r="X215" i="8"/>
  <c r="R215" i="8"/>
  <c r="Z214" i="8"/>
  <c r="Y214" i="8"/>
  <c r="X214" i="8"/>
  <c r="R214" i="8"/>
  <c r="Z213" i="8"/>
  <c r="Y213" i="8"/>
  <c r="X213" i="8"/>
  <c r="R213" i="8"/>
  <c r="Z212" i="8"/>
  <c r="Y212" i="8"/>
  <c r="X212" i="8"/>
  <c r="R212" i="8"/>
  <c r="Z211" i="8"/>
  <c r="Y211" i="8"/>
  <c r="X211" i="8"/>
  <c r="R211" i="8"/>
  <c r="Z210" i="8"/>
  <c r="Y210" i="8"/>
  <c r="X210" i="8"/>
  <c r="R210" i="8"/>
  <c r="Z209" i="8"/>
  <c r="Y209" i="8"/>
  <c r="X209" i="8"/>
  <c r="R209" i="8"/>
  <c r="Z208" i="8"/>
  <c r="Y208" i="8"/>
  <c r="X208" i="8"/>
  <c r="R208" i="8"/>
  <c r="Z207" i="8"/>
  <c r="Y207" i="8"/>
  <c r="X207" i="8"/>
  <c r="R207" i="8"/>
  <c r="Z206" i="8"/>
  <c r="Y206" i="8"/>
  <c r="X206" i="8"/>
  <c r="R206" i="8"/>
  <c r="Z205" i="8"/>
  <c r="Y205" i="8"/>
  <c r="X205" i="8"/>
  <c r="R205" i="8"/>
  <c r="Z204" i="8"/>
  <c r="Y204" i="8"/>
  <c r="X204" i="8"/>
  <c r="R204" i="8"/>
  <c r="Z203" i="8"/>
  <c r="Y203" i="8"/>
  <c r="X203" i="8"/>
  <c r="R203" i="8"/>
  <c r="Z202" i="8"/>
  <c r="Y202" i="8"/>
  <c r="X202" i="8"/>
  <c r="R202" i="8"/>
  <c r="Z201" i="8"/>
  <c r="Y201" i="8"/>
  <c r="X201" i="8"/>
  <c r="R201" i="8"/>
  <c r="Z200" i="8"/>
  <c r="Y200" i="8"/>
  <c r="X200" i="8"/>
  <c r="R200" i="8"/>
  <c r="Z199" i="8"/>
  <c r="Y199" i="8"/>
  <c r="X199" i="8"/>
  <c r="R199" i="8"/>
  <c r="Z198" i="8"/>
  <c r="Y198" i="8"/>
  <c r="X198" i="8"/>
  <c r="R198" i="8"/>
  <c r="Z197" i="8"/>
  <c r="Y197" i="8"/>
  <c r="X197" i="8"/>
  <c r="R197" i="8"/>
  <c r="Z196" i="8"/>
  <c r="Y196" i="8"/>
  <c r="X196" i="8"/>
  <c r="R196" i="8"/>
  <c r="Z195" i="8"/>
  <c r="Y195" i="8"/>
  <c r="X195" i="8"/>
  <c r="R195" i="8"/>
  <c r="Z194" i="8"/>
  <c r="Y194" i="8"/>
  <c r="X194" i="8"/>
  <c r="R194" i="8"/>
  <c r="Z193" i="8"/>
  <c r="Y193" i="8"/>
  <c r="X193" i="8"/>
  <c r="R193" i="8"/>
  <c r="Z192" i="8"/>
  <c r="Y192" i="8"/>
  <c r="X192" i="8"/>
  <c r="R192" i="8"/>
  <c r="Z191" i="8"/>
  <c r="Y191" i="8"/>
  <c r="X191" i="8"/>
  <c r="R191" i="8"/>
  <c r="Z190" i="8"/>
  <c r="Y190" i="8"/>
  <c r="X190" i="8"/>
  <c r="R190" i="8"/>
  <c r="Z189" i="8"/>
  <c r="Y189" i="8"/>
  <c r="X189" i="8"/>
  <c r="R189" i="8"/>
  <c r="Z188" i="8"/>
  <c r="Y188" i="8"/>
  <c r="X188" i="8"/>
  <c r="R188" i="8"/>
  <c r="Z187" i="8"/>
  <c r="Y187" i="8"/>
  <c r="X187" i="8"/>
  <c r="R187" i="8"/>
  <c r="Z186" i="8"/>
  <c r="Y186" i="8"/>
  <c r="X186" i="8"/>
  <c r="R186" i="8"/>
  <c r="Z185" i="8"/>
  <c r="Y185" i="8"/>
  <c r="X185" i="8"/>
  <c r="R185" i="8"/>
  <c r="Z184" i="8"/>
  <c r="Y184" i="8"/>
  <c r="X184" i="8"/>
  <c r="R184" i="8"/>
  <c r="Z183" i="8"/>
  <c r="Y183" i="8"/>
  <c r="X183" i="8"/>
  <c r="R183" i="8"/>
  <c r="Z182" i="8"/>
  <c r="Y182" i="8"/>
  <c r="X182" i="8"/>
  <c r="R182" i="8"/>
  <c r="Z181" i="8"/>
  <c r="Y181" i="8"/>
  <c r="X181" i="8"/>
  <c r="R181" i="8"/>
  <c r="Z180" i="8"/>
  <c r="Y180" i="8"/>
  <c r="X180" i="8"/>
  <c r="R180" i="8"/>
  <c r="Z179" i="8"/>
  <c r="Y179" i="8"/>
  <c r="X179" i="8"/>
  <c r="R179" i="8"/>
  <c r="Z178" i="8"/>
  <c r="Y178" i="8"/>
  <c r="X178" i="8"/>
  <c r="R178" i="8"/>
  <c r="Z177" i="8"/>
  <c r="Y177" i="8"/>
  <c r="X177" i="8"/>
  <c r="R177" i="8"/>
  <c r="Z176" i="8"/>
  <c r="Y176" i="8"/>
  <c r="X176" i="8"/>
  <c r="R176" i="8"/>
  <c r="Z175" i="8"/>
  <c r="Y175" i="8"/>
  <c r="X175" i="8"/>
  <c r="R175" i="8"/>
  <c r="Z174" i="8"/>
  <c r="Y174" i="8"/>
  <c r="X174" i="8"/>
  <c r="R174" i="8"/>
  <c r="Z173" i="8"/>
  <c r="Y173" i="8"/>
  <c r="X173" i="8"/>
  <c r="R173" i="8"/>
  <c r="Z172" i="8"/>
  <c r="Y172" i="8"/>
  <c r="X172" i="8"/>
  <c r="R172" i="8"/>
  <c r="Z171" i="8"/>
  <c r="Y171" i="8"/>
  <c r="X171" i="8"/>
  <c r="R171" i="8"/>
  <c r="Z170" i="8"/>
  <c r="Y170" i="8"/>
  <c r="X170" i="8"/>
  <c r="R170" i="8"/>
  <c r="Z169" i="8"/>
  <c r="Y169" i="8"/>
  <c r="X169" i="8"/>
  <c r="R169" i="8"/>
  <c r="Z168" i="8"/>
  <c r="Y168" i="8"/>
  <c r="X168" i="8"/>
  <c r="R168" i="8"/>
  <c r="Z167" i="8"/>
  <c r="Y167" i="8"/>
  <c r="X167" i="8"/>
  <c r="R167" i="8"/>
  <c r="Z166" i="8"/>
  <c r="Y166" i="8"/>
  <c r="X166" i="8"/>
  <c r="R166" i="8"/>
  <c r="Z165" i="8"/>
  <c r="Y165" i="8"/>
  <c r="X165" i="8"/>
  <c r="R165" i="8"/>
  <c r="Z164" i="8"/>
  <c r="Y164" i="8"/>
  <c r="X164" i="8"/>
  <c r="R164" i="8"/>
  <c r="Z163" i="8"/>
  <c r="Y163" i="8"/>
  <c r="X163" i="8"/>
  <c r="R163" i="8"/>
  <c r="Z162" i="8"/>
  <c r="Y162" i="8"/>
  <c r="X162" i="8"/>
  <c r="R162" i="8"/>
  <c r="Z161" i="8"/>
  <c r="Y161" i="8"/>
  <c r="X161" i="8"/>
  <c r="R161" i="8"/>
  <c r="Z160" i="8"/>
  <c r="Y160" i="8"/>
  <c r="X160" i="8"/>
  <c r="R160" i="8"/>
  <c r="Z159" i="8"/>
  <c r="Y159" i="8"/>
  <c r="X159" i="8"/>
  <c r="R159" i="8"/>
  <c r="Z158" i="8"/>
  <c r="Y158" i="8"/>
  <c r="X158" i="8"/>
  <c r="R158" i="8"/>
  <c r="Z157" i="8"/>
  <c r="Y157" i="8"/>
  <c r="X157" i="8"/>
  <c r="R157" i="8"/>
  <c r="Z156" i="8"/>
  <c r="Y156" i="8"/>
  <c r="X156" i="8"/>
  <c r="R156" i="8"/>
  <c r="Z155" i="8"/>
  <c r="Y155" i="8"/>
  <c r="X155" i="8"/>
  <c r="R155" i="8"/>
  <c r="Z154" i="8"/>
  <c r="Y154" i="8"/>
  <c r="X154" i="8"/>
  <c r="R154" i="8"/>
  <c r="Z153" i="8"/>
  <c r="Y153" i="8"/>
  <c r="X153" i="8"/>
  <c r="R153" i="8"/>
  <c r="Z152" i="8"/>
  <c r="Y152" i="8"/>
  <c r="X152" i="8"/>
  <c r="R152" i="8"/>
  <c r="Z151" i="8"/>
  <c r="Y151" i="8"/>
  <c r="X151" i="8"/>
  <c r="R151" i="8"/>
  <c r="Z150" i="8"/>
  <c r="Y150" i="8"/>
  <c r="X150" i="8"/>
  <c r="R150" i="8"/>
  <c r="Z149" i="8"/>
  <c r="Y149" i="8"/>
  <c r="X149" i="8"/>
  <c r="R149" i="8"/>
  <c r="Z148" i="8"/>
  <c r="Y148" i="8"/>
  <c r="X148" i="8"/>
  <c r="R148" i="8"/>
  <c r="Z147" i="8"/>
  <c r="Y147" i="8"/>
  <c r="X147" i="8"/>
  <c r="R147" i="8"/>
  <c r="Z146" i="8"/>
  <c r="Y146" i="8"/>
  <c r="X146" i="8"/>
  <c r="R146" i="8"/>
  <c r="Z145" i="8"/>
  <c r="Y145" i="8"/>
  <c r="X145" i="8"/>
  <c r="R145" i="8"/>
  <c r="Z144" i="8"/>
  <c r="Y144" i="8"/>
  <c r="X144" i="8"/>
  <c r="R144" i="8"/>
  <c r="Z143" i="8"/>
  <c r="Y143" i="8"/>
  <c r="X143" i="8"/>
  <c r="R143" i="8"/>
  <c r="Z142" i="8"/>
  <c r="Y142" i="8"/>
  <c r="X142" i="8"/>
  <c r="R142" i="8"/>
  <c r="Z141" i="8"/>
  <c r="Y141" i="8"/>
  <c r="X141" i="8"/>
  <c r="R141" i="8"/>
  <c r="Z140" i="8"/>
  <c r="Y140" i="8"/>
  <c r="X140" i="8"/>
  <c r="R140" i="8"/>
  <c r="Z139" i="8"/>
  <c r="Y139" i="8"/>
  <c r="X139" i="8"/>
  <c r="R139" i="8"/>
  <c r="Z138" i="8"/>
  <c r="Y138" i="8"/>
  <c r="X138" i="8"/>
  <c r="R138" i="8"/>
  <c r="Z137" i="8"/>
  <c r="Y137" i="8"/>
  <c r="X137" i="8"/>
  <c r="R137" i="8"/>
  <c r="Z136" i="8"/>
  <c r="Y136" i="8"/>
  <c r="X136" i="8"/>
  <c r="R136" i="8"/>
  <c r="Z135" i="8"/>
  <c r="Y135" i="8"/>
  <c r="X135" i="8"/>
  <c r="R135" i="8"/>
  <c r="Z134" i="8"/>
  <c r="Y134" i="8"/>
  <c r="X134" i="8"/>
  <c r="R134" i="8"/>
  <c r="Z133" i="8"/>
  <c r="Y133" i="8"/>
  <c r="X133" i="8"/>
  <c r="R133" i="8"/>
  <c r="Z132" i="8"/>
  <c r="Y132" i="8"/>
  <c r="X132" i="8"/>
  <c r="R132" i="8"/>
  <c r="Z131" i="8"/>
  <c r="Y131" i="8"/>
  <c r="X131" i="8"/>
  <c r="R131" i="8"/>
  <c r="Z130" i="8"/>
  <c r="Y130" i="8"/>
  <c r="X130" i="8"/>
  <c r="R130" i="8"/>
  <c r="Z129" i="8"/>
  <c r="Y129" i="8"/>
  <c r="X129" i="8"/>
  <c r="R129" i="8"/>
  <c r="Z128" i="8"/>
  <c r="Y128" i="8"/>
  <c r="X128" i="8"/>
  <c r="R128" i="8"/>
  <c r="Z127" i="8"/>
  <c r="Y127" i="8"/>
  <c r="X127" i="8"/>
  <c r="R127" i="8"/>
  <c r="Z126" i="8"/>
  <c r="Y126" i="8"/>
  <c r="X126" i="8"/>
  <c r="R126" i="8"/>
  <c r="Z125" i="8"/>
  <c r="Y125" i="8"/>
  <c r="X125" i="8"/>
  <c r="R125" i="8"/>
  <c r="Z124" i="8"/>
  <c r="Y124" i="8"/>
  <c r="X124" i="8"/>
  <c r="R124" i="8"/>
  <c r="Z123" i="8"/>
  <c r="Y123" i="8"/>
  <c r="X123" i="8"/>
  <c r="R123" i="8"/>
  <c r="Z122" i="8"/>
  <c r="Y122" i="8"/>
  <c r="X122" i="8"/>
  <c r="R122" i="8"/>
  <c r="Z121" i="8"/>
  <c r="Y121" i="8"/>
  <c r="X121" i="8"/>
  <c r="R121" i="8"/>
  <c r="Z120" i="8"/>
  <c r="Y120" i="8"/>
  <c r="X120" i="8"/>
  <c r="R120" i="8"/>
  <c r="Z119" i="8"/>
  <c r="Y119" i="8"/>
  <c r="X119" i="8"/>
  <c r="R119" i="8"/>
  <c r="Z118" i="8"/>
  <c r="Y118" i="8"/>
  <c r="X118" i="8"/>
  <c r="R118" i="8"/>
  <c r="Z117" i="8"/>
  <c r="Y117" i="8"/>
  <c r="X117" i="8"/>
  <c r="R117" i="8"/>
  <c r="Z116" i="8"/>
  <c r="Y116" i="8"/>
  <c r="X116" i="8"/>
  <c r="R116" i="8"/>
  <c r="Z115" i="8"/>
  <c r="Y115" i="8"/>
  <c r="X115" i="8"/>
  <c r="R115" i="8"/>
  <c r="Z114" i="8"/>
  <c r="Y114" i="8"/>
  <c r="X114" i="8"/>
  <c r="R114" i="8"/>
  <c r="Z113" i="8"/>
  <c r="Y113" i="8"/>
  <c r="X113" i="8"/>
  <c r="R113" i="8"/>
  <c r="Z112" i="8"/>
  <c r="Y112" i="8"/>
  <c r="X112" i="8"/>
  <c r="R112" i="8"/>
  <c r="Z111" i="8"/>
  <c r="Y111" i="8"/>
  <c r="X111" i="8"/>
  <c r="R111" i="8"/>
  <c r="Z110" i="8"/>
  <c r="Y110" i="8"/>
  <c r="X110" i="8"/>
  <c r="R110" i="8"/>
  <c r="Z109" i="8"/>
  <c r="Y109" i="8"/>
  <c r="X109" i="8"/>
  <c r="R109" i="8"/>
  <c r="Z108" i="8"/>
  <c r="Y108" i="8"/>
  <c r="X108" i="8"/>
  <c r="R108" i="8"/>
  <c r="Z107" i="8"/>
  <c r="Y107" i="8"/>
  <c r="X107" i="8"/>
  <c r="R107" i="8"/>
  <c r="Z106" i="8"/>
  <c r="Y106" i="8"/>
  <c r="X106" i="8"/>
  <c r="R106" i="8"/>
  <c r="Z105" i="8"/>
  <c r="Y105" i="8"/>
  <c r="X105" i="8"/>
  <c r="R105" i="8"/>
  <c r="Z104" i="8"/>
  <c r="Y104" i="8"/>
  <c r="X104" i="8"/>
  <c r="R104" i="8"/>
  <c r="Z103" i="8"/>
  <c r="Y103" i="8"/>
  <c r="X103" i="8"/>
  <c r="R103" i="8"/>
  <c r="Z102" i="8"/>
  <c r="Y102" i="8"/>
  <c r="X102" i="8"/>
  <c r="R102" i="8"/>
  <c r="Z101" i="8"/>
  <c r="Y101" i="8"/>
  <c r="X101" i="8"/>
  <c r="R101" i="8"/>
  <c r="Z100" i="8"/>
  <c r="Y100" i="8"/>
  <c r="X100" i="8"/>
  <c r="R100" i="8"/>
  <c r="Z99" i="8"/>
  <c r="Y99" i="8"/>
  <c r="X99" i="8"/>
  <c r="R99" i="8"/>
  <c r="Z98" i="8"/>
  <c r="Y98" i="8"/>
  <c r="X98" i="8"/>
  <c r="R98" i="8"/>
  <c r="Z97" i="8"/>
  <c r="Y97" i="8"/>
  <c r="X97" i="8"/>
  <c r="R97" i="8"/>
  <c r="Z96" i="8"/>
  <c r="Y96" i="8"/>
  <c r="X96" i="8"/>
  <c r="R96" i="8"/>
  <c r="Z95" i="8"/>
  <c r="Y95" i="8"/>
  <c r="X95" i="8"/>
  <c r="R95" i="8"/>
  <c r="Z94" i="8"/>
  <c r="Y94" i="8"/>
  <c r="X94" i="8"/>
  <c r="R94" i="8"/>
  <c r="Z93" i="8"/>
  <c r="Y93" i="8"/>
  <c r="X93" i="8"/>
  <c r="R93" i="8"/>
  <c r="Z92" i="8"/>
  <c r="Y92" i="8"/>
  <c r="X92" i="8"/>
  <c r="R92" i="8"/>
  <c r="Z91" i="8"/>
  <c r="Y91" i="8"/>
  <c r="X91" i="8"/>
  <c r="R91" i="8"/>
  <c r="Z90" i="8"/>
  <c r="Y90" i="8"/>
  <c r="X90" i="8"/>
  <c r="R90" i="8"/>
  <c r="Z89" i="8"/>
  <c r="Y89" i="8"/>
  <c r="X89" i="8"/>
  <c r="R89" i="8"/>
  <c r="Z88" i="8"/>
  <c r="Y88" i="8"/>
  <c r="X88" i="8"/>
  <c r="R88" i="8"/>
  <c r="Z87" i="8"/>
  <c r="Y87" i="8"/>
  <c r="X87" i="8"/>
  <c r="R87" i="8"/>
  <c r="Z86" i="8"/>
  <c r="Y86" i="8"/>
  <c r="X86" i="8"/>
  <c r="R86" i="8"/>
  <c r="Z85" i="8"/>
  <c r="Y85" i="8"/>
  <c r="X85" i="8"/>
  <c r="R85" i="8"/>
  <c r="Z84" i="8"/>
  <c r="Y84" i="8"/>
  <c r="X84" i="8"/>
  <c r="R84" i="8"/>
  <c r="Z83" i="8"/>
  <c r="Y83" i="8"/>
  <c r="X83" i="8"/>
  <c r="R83" i="8"/>
  <c r="Z82" i="8"/>
  <c r="Y82" i="8"/>
  <c r="X82" i="8"/>
  <c r="R82" i="8"/>
  <c r="Z81" i="8"/>
  <c r="Y81" i="8"/>
  <c r="X81" i="8"/>
  <c r="R81" i="8"/>
  <c r="Z80" i="8"/>
  <c r="Y80" i="8"/>
  <c r="X80" i="8"/>
  <c r="R80" i="8"/>
  <c r="D80" i="8"/>
  <c r="Z79" i="8"/>
  <c r="Y79" i="8"/>
  <c r="X79" i="8"/>
  <c r="R79" i="8"/>
  <c r="Z78" i="8"/>
  <c r="Y78" i="8"/>
  <c r="X78" i="8"/>
  <c r="R78" i="8"/>
  <c r="Z77" i="8"/>
  <c r="Y77" i="8"/>
  <c r="X77" i="8"/>
  <c r="R77" i="8"/>
  <c r="Z76" i="8"/>
  <c r="Y76" i="8"/>
  <c r="X76" i="8"/>
  <c r="R76" i="8"/>
  <c r="Z75" i="8"/>
  <c r="Y75" i="8"/>
  <c r="X75" i="8"/>
  <c r="R75" i="8"/>
  <c r="Z74" i="8"/>
  <c r="Y74" i="8"/>
  <c r="X74" i="8"/>
  <c r="R74" i="8"/>
  <c r="Z73" i="8"/>
  <c r="Y73" i="8"/>
  <c r="X73" i="8"/>
  <c r="R73" i="8"/>
  <c r="Z72" i="8"/>
  <c r="Y72" i="8"/>
  <c r="X72" i="8"/>
  <c r="R72" i="8"/>
  <c r="Z71" i="8"/>
  <c r="Y71" i="8"/>
  <c r="X71" i="8"/>
  <c r="R71" i="8"/>
  <c r="Z70" i="8"/>
  <c r="Y70" i="8"/>
  <c r="X70" i="8"/>
  <c r="R70" i="8"/>
  <c r="Z69" i="8"/>
  <c r="Y69" i="8"/>
  <c r="X69" i="8"/>
  <c r="R69" i="8"/>
  <c r="Z68" i="8"/>
  <c r="Y68" i="8"/>
  <c r="X68" i="8"/>
  <c r="R68" i="8"/>
  <c r="Z67" i="8"/>
  <c r="Y67" i="8"/>
  <c r="X67" i="8"/>
  <c r="R67" i="8"/>
  <c r="C67" i="8"/>
  <c r="Z66" i="8"/>
  <c r="Y66" i="8"/>
  <c r="X66" i="8"/>
  <c r="R66" i="8"/>
  <c r="Z65" i="8"/>
  <c r="Y65" i="8"/>
  <c r="X65" i="8"/>
  <c r="R65" i="8"/>
  <c r="Z64" i="8"/>
  <c r="Y64" i="8"/>
  <c r="X64" i="8"/>
  <c r="R64" i="8"/>
  <c r="Z63" i="8"/>
  <c r="Y63" i="8"/>
  <c r="X63" i="8"/>
  <c r="R63" i="8"/>
  <c r="Z62" i="8"/>
  <c r="Y62" i="8"/>
  <c r="X62" i="8"/>
  <c r="R62" i="8"/>
  <c r="Z61" i="8"/>
  <c r="Y61" i="8"/>
  <c r="X61" i="8"/>
  <c r="R61" i="8"/>
  <c r="Z60" i="8"/>
  <c r="Y60" i="8"/>
  <c r="X60" i="8"/>
  <c r="R60" i="8"/>
  <c r="Z59" i="8"/>
  <c r="Y59" i="8"/>
  <c r="X59" i="8"/>
  <c r="R59" i="8"/>
  <c r="Z58" i="8"/>
  <c r="Y58" i="8"/>
  <c r="X58" i="8"/>
  <c r="R58" i="8"/>
  <c r="Z57" i="8"/>
  <c r="Y57" i="8"/>
  <c r="X57" i="8"/>
  <c r="R57" i="8"/>
  <c r="Z56" i="8"/>
  <c r="Y56" i="8"/>
  <c r="X56" i="8"/>
  <c r="R56" i="8"/>
  <c r="Z55" i="8"/>
  <c r="Y55" i="8"/>
  <c r="X55" i="8"/>
  <c r="R55" i="8"/>
  <c r="Z54" i="8"/>
  <c r="Y54" i="8"/>
  <c r="X54" i="8"/>
  <c r="R54" i="8"/>
  <c r="G54" i="8"/>
  <c r="Z53" i="8"/>
  <c r="Y53" i="8"/>
  <c r="X53" i="8"/>
  <c r="R53" i="8"/>
  <c r="G53" i="8"/>
  <c r="Z52" i="8"/>
  <c r="Y52" i="8"/>
  <c r="X52" i="8"/>
  <c r="R52" i="8"/>
  <c r="Z51" i="8"/>
  <c r="Y51" i="8"/>
  <c r="X51" i="8"/>
  <c r="R51" i="8"/>
  <c r="Z50" i="8"/>
  <c r="Y50" i="8"/>
  <c r="X50" i="8"/>
  <c r="R50" i="8"/>
  <c r="I50" i="8"/>
  <c r="H50" i="8"/>
  <c r="G50" i="8"/>
  <c r="F50" i="8"/>
  <c r="E50" i="8"/>
  <c r="D50" i="8"/>
  <c r="C50" i="8"/>
  <c r="Z49" i="8"/>
  <c r="Y49" i="8"/>
  <c r="X49" i="8"/>
  <c r="R49" i="8"/>
  <c r="I49" i="8"/>
  <c r="H49" i="8"/>
  <c r="G49" i="8"/>
  <c r="F49" i="8"/>
  <c r="E49" i="8"/>
  <c r="D49" i="8"/>
  <c r="C49" i="8"/>
  <c r="Z48" i="8"/>
  <c r="Y48" i="8"/>
  <c r="X48" i="8"/>
  <c r="R48" i="8"/>
  <c r="I48" i="8"/>
  <c r="H48" i="8"/>
  <c r="G48" i="8"/>
  <c r="F48" i="8"/>
  <c r="E48" i="8"/>
  <c r="D48" i="8"/>
  <c r="C48" i="8"/>
  <c r="Z47" i="8"/>
  <c r="Y47" i="8"/>
  <c r="X47" i="8"/>
  <c r="R47" i="8"/>
  <c r="I47" i="8"/>
  <c r="H47" i="8"/>
  <c r="G47" i="8"/>
  <c r="F47" i="8"/>
  <c r="E47" i="8"/>
  <c r="D47" i="8"/>
  <c r="C47" i="8"/>
  <c r="Z46" i="8"/>
  <c r="Y46" i="8"/>
  <c r="X46" i="8"/>
  <c r="R46" i="8"/>
  <c r="I46" i="8"/>
  <c r="H46" i="8"/>
  <c r="G46" i="8"/>
  <c r="F46" i="8"/>
  <c r="E46" i="8"/>
  <c r="D46" i="8"/>
  <c r="C46" i="8"/>
  <c r="Z45" i="8"/>
  <c r="Y45" i="8"/>
  <c r="X45" i="8"/>
  <c r="R45" i="8"/>
  <c r="Z44" i="8"/>
  <c r="Y44" i="8"/>
  <c r="X44" i="8"/>
  <c r="R44" i="8"/>
  <c r="Z43" i="8"/>
  <c r="Y43" i="8"/>
  <c r="X43" i="8"/>
  <c r="R43" i="8"/>
  <c r="Z42" i="8"/>
  <c r="Y42" i="8"/>
  <c r="X42" i="8"/>
  <c r="R42" i="8"/>
  <c r="Z41" i="8"/>
  <c r="Y41" i="8"/>
  <c r="X41" i="8"/>
  <c r="R41" i="8"/>
  <c r="Z40" i="8"/>
  <c r="Y40" i="8"/>
  <c r="X40" i="8"/>
  <c r="R40" i="8"/>
  <c r="Z39" i="8"/>
  <c r="Y39" i="8"/>
  <c r="X39" i="8"/>
  <c r="R39" i="8"/>
  <c r="Z38" i="8"/>
  <c r="Y38" i="8"/>
  <c r="X38" i="8"/>
  <c r="R38" i="8"/>
  <c r="Z37" i="8"/>
  <c r="Y37" i="8"/>
  <c r="X37" i="8"/>
  <c r="R37" i="8"/>
  <c r="Z36" i="8"/>
  <c r="Y36" i="8"/>
  <c r="X36" i="8"/>
  <c r="R36" i="8"/>
  <c r="Z35" i="8"/>
  <c r="Y35" i="8"/>
  <c r="X35" i="8"/>
  <c r="R35" i="8"/>
  <c r="Z34" i="8"/>
  <c r="Y34" i="8"/>
  <c r="X34" i="8"/>
  <c r="R34" i="8"/>
  <c r="Z33" i="8"/>
  <c r="Y33" i="8"/>
  <c r="X33" i="8"/>
  <c r="R33" i="8"/>
  <c r="Z32" i="8"/>
  <c r="Y32" i="8"/>
  <c r="X32" i="8"/>
  <c r="R32" i="8"/>
  <c r="Z31" i="8"/>
  <c r="Y31" i="8"/>
  <c r="X31" i="8"/>
  <c r="R31" i="8"/>
  <c r="Z30" i="8"/>
  <c r="Y30" i="8"/>
  <c r="X30" i="8"/>
  <c r="R30" i="8"/>
  <c r="Z29" i="8"/>
  <c r="Y29" i="8"/>
  <c r="X29" i="8"/>
  <c r="R29" i="8"/>
  <c r="Z28" i="8"/>
  <c r="Y28" i="8"/>
  <c r="X28" i="8"/>
  <c r="R28" i="8"/>
  <c r="Z27" i="8"/>
  <c r="Y27" i="8"/>
  <c r="X27" i="8"/>
  <c r="R27" i="8"/>
  <c r="Z26" i="8"/>
  <c r="Y26" i="8"/>
  <c r="X26" i="8"/>
  <c r="R26" i="8"/>
  <c r="Z25" i="8"/>
  <c r="Y25" i="8"/>
  <c r="X25" i="8"/>
  <c r="R25" i="8"/>
  <c r="Z24" i="8"/>
  <c r="Y24" i="8"/>
  <c r="X24" i="8"/>
  <c r="R24" i="8"/>
  <c r="AC23" i="8"/>
  <c r="AB23" i="8"/>
  <c r="Z23" i="8"/>
  <c r="Y23" i="8"/>
  <c r="X23" i="8"/>
  <c r="R23" i="8"/>
  <c r="AC22" i="8"/>
  <c r="AB22" i="8"/>
  <c r="Z22" i="8"/>
  <c r="Y22" i="8"/>
  <c r="X22" i="8"/>
  <c r="R22" i="8"/>
  <c r="AC21" i="8"/>
  <c r="AB21" i="8"/>
  <c r="Z21" i="8"/>
  <c r="Y21" i="8"/>
  <c r="X21" i="8"/>
  <c r="R21" i="8"/>
  <c r="AC20" i="8"/>
  <c r="AB20" i="8"/>
  <c r="Z20" i="8"/>
  <c r="Y20" i="8"/>
  <c r="X20" i="8"/>
  <c r="R20" i="8"/>
  <c r="AC19" i="8"/>
  <c r="AB19" i="8"/>
  <c r="Z19" i="8"/>
  <c r="Y19" i="8"/>
  <c r="X19" i="8"/>
  <c r="R19" i="8"/>
  <c r="AC18" i="8"/>
  <c r="AB18" i="8"/>
  <c r="Z18" i="8"/>
  <c r="Y18" i="8"/>
  <c r="X18" i="8"/>
  <c r="R18" i="8"/>
  <c r="AC17" i="8"/>
  <c r="AB17" i="8"/>
  <c r="Z17" i="8"/>
  <c r="Y17" i="8"/>
  <c r="X17" i="8"/>
  <c r="R17" i="8"/>
  <c r="AC16" i="8"/>
  <c r="AB16" i="8"/>
  <c r="Z16" i="8"/>
  <c r="Y16" i="8"/>
  <c r="X16" i="8"/>
  <c r="R16" i="8"/>
  <c r="AC15" i="8"/>
  <c r="AB15" i="8"/>
  <c r="Z15" i="8"/>
  <c r="Y15" i="8"/>
  <c r="X15" i="8"/>
  <c r="R15" i="8"/>
  <c r="AC14" i="8"/>
  <c r="AB14" i="8"/>
  <c r="Z14" i="8"/>
  <c r="Y14" i="8"/>
  <c r="X14" i="8"/>
  <c r="R14" i="8"/>
  <c r="J14" i="8"/>
  <c r="AC13" i="8"/>
  <c r="AB13" i="8"/>
  <c r="Z13" i="8"/>
  <c r="Y13" i="8"/>
  <c r="X13" i="8"/>
  <c r="R13" i="8"/>
  <c r="AC12" i="8"/>
  <c r="AB12" i="8"/>
  <c r="Z12" i="8"/>
  <c r="Y12" i="8"/>
  <c r="X12" i="8"/>
  <c r="R12" i="8"/>
  <c r="AC11" i="8"/>
  <c r="AB11" i="8"/>
  <c r="Z11" i="8"/>
  <c r="Y11" i="8"/>
  <c r="X11" i="8"/>
  <c r="R11" i="8"/>
  <c r="AC10" i="8"/>
  <c r="AB10" i="8"/>
  <c r="Z10" i="8"/>
  <c r="Y10" i="8"/>
  <c r="X10" i="8"/>
  <c r="R10" i="8"/>
  <c r="AC9" i="8"/>
  <c r="AB9" i="8"/>
  <c r="Z9" i="8"/>
  <c r="Y9" i="8"/>
  <c r="X9" i="8"/>
  <c r="R9" i="8"/>
  <c r="AC8" i="8"/>
  <c r="AB8" i="8"/>
  <c r="Z8" i="8"/>
  <c r="Y8" i="8"/>
  <c r="X8" i="8"/>
  <c r="R8" i="8"/>
  <c r="AC7" i="8"/>
  <c r="AB7" i="8"/>
  <c r="Z7" i="8"/>
  <c r="Y7" i="8"/>
  <c r="X7" i="8"/>
  <c r="R7" i="8"/>
  <c r="AC6" i="8"/>
  <c r="AB6" i="8"/>
  <c r="Z6" i="8"/>
  <c r="Y6" i="8"/>
  <c r="X6" i="8"/>
  <c r="R6" i="8"/>
  <c r="AC5" i="8"/>
  <c r="U5" i="8"/>
  <c r="S5" i="8"/>
  <c r="R5" i="8" s="1"/>
  <c r="Z4" i="8"/>
  <c r="Y4" i="8"/>
  <c r="X23" i="5"/>
  <c r="W23" i="5"/>
  <c r="V23" i="5"/>
  <c r="U23" i="5"/>
  <c r="T23" i="5"/>
  <c r="S23" i="5"/>
  <c r="R23" i="5"/>
  <c r="Q23" i="5"/>
  <c r="P23" i="5"/>
  <c r="O23" i="5"/>
  <c r="N23" i="5"/>
  <c r="M23" i="5"/>
  <c r="L23" i="5"/>
  <c r="K23" i="5"/>
  <c r="J23" i="5"/>
  <c r="I23" i="5"/>
  <c r="H23" i="5"/>
  <c r="G23" i="5"/>
  <c r="F23" i="5"/>
  <c r="D23" i="5"/>
  <c r="C23" i="5"/>
  <c r="X22" i="5"/>
  <c r="W22" i="5"/>
  <c r="V22" i="5"/>
  <c r="U22" i="5"/>
  <c r="T22" i="5"/>
  <c r="S22" i="5"/>
  <c r="R22" i="5"/>
  <c r="Q22" i="5"/>
  <c r="P22" i="5"/>
  <c r="O22" i="5"/>
  <c r="N22" i="5"/>
  <c r="M22" i="5"/>
  <c r="L22" i="5"/>
  <c r="K22" i="5"/>
  <c r="J22" i="5"/>
  <c r="I22" i="5"/>
  <c r="H22" i="5"/>
  <c r="G22" i="5"/>
  <c r="F22" i="5"/>
  <c r="D22" i="5"/>
  <c r="C22" i="5"/>
  <c r="X21" i="5"/>
  <c r="W21" i="5"/>
  <c r="V21" i="5"/>
  <c r="U21" i="5"/>
  <c r="T21" i="5"/>
  <c r="S21" i="5"/>
  <c r="R21" i="5"/>
  <c r="Q21" i="5"/>
  <c r="P21" i="5"/>
  <c r="O21" i="5"/>
  <c r="N21" i="5"/>
  <c r="M21" i="5"/>
  <c r="L21" i="5"/>
  <c r="K21" i="5"/>
  <c r="J21" i="5"/>
  <c r="I21" i="5"/>
  <c r="H21" i="5"/>
  <c r="G21" i="5"/>
  <c r="F21" i="5"/>
  <c r="D21" i="5"/>
  <c r="C21" i="5"/>
  <c r="X20" i="5"/>
  <c r="W20" i="5"/>
  <c r="V20" i="5"/>
  <c r="U20" i="5"/>
  <c r="T20" i="5"/>
  <c r="S20" i="5"/>
  <c r="R20" i="5"/>
  <c r="Q20" i="5"/>
  <c r="P20" i="5"/>
  <c r="O20" i="5"/>
  <c r="N20" i="5"/>
  <c r="M20" i="5"/>
  <c r="L20" i="5"/>
  <c r="K20" i="5"/>
  <c r="J20" i="5"/>
  <c r="I20" i="5"/>
  <c r="H20" i="5"/>
  <c r="G20" i="5"/>
  <c r="F20" i="5"/>
  <c r="D20" i="5"/>
  <c r="C20" i="5"/>
  <c r="X19" i="5"/>
  <c r="W19" i="5"/>
  <c r="V19" i="5"/>
  <c r="U19" i="5"/>
  <c r="T19" i="5"/>
  <c r="S19" i="5"/>
  <c r="R19" i="5"/>
  <c r="Q19" i="5"/>
  <c r="P19" i="5"/>
  <c r="O19" i="5"/>
  <c r="N19" i="5"/>
  <c r="M19" i="5"/>
  <c r="L19" i="5"/>
  <c r="K19" i="5"/>
  <c r="J19" i="5"/>
  <c r="I19" i="5"/>
  <c r="H19" i="5"/>
  <c r="G19" i="5"/>
  <c r="F19" i="5"/>
  <c r="D19" i="5"/>
  <c r="C19" i="5"/>
  <c r="X18" i="5"/>
  <c r="W18" i="5"/>
  <c r="V18" i="5"/>
  <c r="U18" i="5"/>
  <c r="T18" i="5"/>
  <c r="S18" i="5"/>
  <c r="R18" i="5"/>
  <c r="Q18" i="5"/>
  <c r="P18" i="5"/>
  <c r="O18" i="5"/>
  <c r="N18" i="5"/>
  <c r="M18" i="5"/>
  <c r="L18" i="5"/>
  <c r="K18" i="5"/>
  <c r="J18" i="5"/>
  <c r="I18" i="5"/>
  <c r="H18" i="5"/>
  <c r="G18" i="5"/>
  <c r="F18" i="5"/>
  <c r="D18" i="5"/>
  <c r="C18" i="5"/>
  <c r="X17" i="5"/>
  <c r="W17" i="5"/>
  <c r="V17" i="5"/>
  <c r="U17" i="5"/>
  <c r="T17" i="5"/>
  <c r="S17" i="5"/>
  <c r="R17" i="5"/>
  <c r="Q17" i="5"/>
  <c r="P17" i="5"/>
  <c r="O17" i="5"/>
  <c r="N17" i="5"/>
  <c r="M17" i="5"/>
  <c r="L17" i="5"/>
  <c r="K17" i="5"/>
  <c r="J17" i="5"/>
  <c r="I17" i="5"/>
  <c r="H17" i="5"/>
  <c r="G17" i="5"/>
  <c r="F17" i="5"/>
  <c r="D17" i="5"/>
  <c r="C17" i="5"/>
  <c r="X16" i="5"/>
  <c r="W16" i="5"/>
  <c r="V16" i="5"/>
  <c r="U16" i="5"/>
  <c r="T16" i="5"/>
  <c r="S16" i="5"/>
  <c r="R16" i="5"/>
  <c r="Q16" i="5"/>
  <c r="P16" i="5"/>
  <c r="O16" i="5"/>
  <c r="N16" i="5"/>
  <c r="M16" i="5"/>
  <c r="L16" i="5"/>
  <c r="K16" i="5"/>
  <c r="J16" i="5"/>
  <c r="I16" i="5"/>
  <c r="H16" i="5"/>
  <c r="G16" i="5"/>
  <c r="F16" i="5"/>
  <c r="D16" i="5"/>
  <c r="C16" i="5"/>
  <c r="X15" i="5"/>
  <c r="W15" i="5"/>
  <c r="V15" i="5"/>
  <c r="U15" i="5"/>
  <c r="T15" i="5"/>
  <c r="S15" i="5"/>
  <c r="R15" i="5"/>
  <c r="Q15" i="5"/>
  <c r="P15" i="5"/>
  <c r="O15" i="5"/>
  <c r="N15" i="5"/>
  <c r="M15" i="5"/>
  <c r="L15" i="5"/>
  <c r="K15" i="5"/>
  <c r="J15" i="5"/>
  <c r="I15" i="5"/>
  <c r="H15" i="5"/>
  <c r="G15" i="5"/>
  <c r="F15" i="5"/>
  <c r="D15" i="5"/>
  <c r="C15" i="5"/>
  <c r="X14" i="5"/>
  <c r="W14" i="5"/>
  <c r="V14" i="5"/>
  <c r="U14" i="5"/>
  <c r="T14" i="5"/>
  <c r="S14" i="5"/>
  <c r="R14" i="5"/>
  <c r="Q14" i="5"/>
  <c r="P14" i="5"/>
  <c r="O14" i="5"/>
  <c r="N14" i="5"/>
  <c r="M14" i="5"/>
  <c r="L14" i="5"/>
  <c r="K14" i="5"/>
  <c r="J14" i="5"/>
  <c r="I14" i="5"/>
  <c r="H14" i="5"/>
  <c r="G14" i="5"/>
  <c r="F14" i="5"/>
  <c r="D14" i="5"/>
  <c r="C14" i="5"/>
  <c r="X13" i="5"/>
  <c r="W13" i="5"/>
  <c r="V13" i="5"/>
  <c r="U13" i="5"/>
  <c r="T13" i="5"/>
  <c r="S13" i="5"/>
  <c r="R13" i="5"/>
  <c r="Q13" i="5"/>
  <c r="P13" i="5"/>
  <c r="O13" i="5"/>
  <c r="N13" i="5"/>
  <c r="M13" i="5"/>
  <c r="L13" i="5"/>
  <c r="K13" i="5"/>
  <c r="J13" i="5"/>
  <c r="I13" i="5"/>
  <c r="H13" i="5"/>
  <c r="G13" i="5"/>
  <c r="F13" i="5"/>
  <c r="D13" i="5"/>
  <c r="C13" i="5"/>
  <c r="X12" i="5"/>
  <c r="W12" i="5"/>
  <c r="V12" i="5"/>
  <c r="U12" i="5"/>
  <c r="T12" i="5"/>
  <c r="S12" i="5"/>
  <c r="R12" i="5"/>
  <c r="Q12" i="5"/>
  <c r="P12" i="5"/>
  <c r="O12" i="5"/>
  <c r="N12" i="5"/>
  <c r="M12" i="5"/>
  <c r="L12" i="5"/>
  <c r="K12" i="5"/>
  <c r="J12" i="5"/>
  <c r="I12" i="5"/>
  <c r="H12" i="5"/>
  <c r="G12" i="5"/>
  <c r="F12" i="5"/>
  <c r="D12" i="5"/>
  <c r="C12" i="5"/>
  <c r="X11" i="5"/>
  <c r="W11" i="5"/>
  <c r="V11" i="5"/>
  <c r="U11" i="5"/>
  <c r="T11" i="5"/>
  <c r="S11" i="5"/>
  <c r="R11" i="5"/>
  <c r="Q11" i="5"/>
  <c r="P11" i="5"/>
  <c r="O11" i="5"/>
  <c r="N11" i="5"/>
  <c r="M11" i="5"/>
  <c r="L11" i="5"/>
  <c r="K11" i="5"/>
  <c r="J11" i="5"/>
  <c r="I11" i="5"/>
  <c r="H11" i="5"/>
  <c r="G11" i="5"/>
  <c r="F11" i="5"/>
  <c r="D11" i="5"/>
  <c r="C11" i="5"/>
  <c r="X10" i="5"/>
  <c r="W10" i="5"/>
  <c r="V10" i="5"/>
  <c r="U10" i="5"/>
  <c r="T10" i="5"/>
  <c r="S10" i="5"/>
  <c r="R10" i="5"/>
  <c r="Q10" i="5"/>
  <c r="P10" i="5"/>
  <c r="O10" i="5"/>
  <c r="N10" i="5"/>
  <c r="M10" i="5"/>
  <c r="L10" i="5"/>
  <c r="K10" i="5"/>
  <c r="J10" i="5"/>
  <c r="I10" i="5"/>
  <c r="H10" i="5"/>
  <c r="G10" i="5"/>
  <c r="F10" i="5"/>
  <c r="D10" i="5"/>
  <c r="C10" i="5"/>
  <c r="X9" i="5"/>
  <c r="W9" i="5"/>
  <c r="V9" i="5"/>
  <c r="U9" i="5"/>
  <c r="T9" i="5"/>
  <c r="S9" i="5"/>
  <c r="R9" i="5"/>
  <c r="Q9" i="5"/>
  <c r="P9" i="5"/>
  <c r="O9" i="5"/>
  <c r="N9" i="5"/>
  <c r="M9" i="5"/>
  <c r="L9" i="5"/>
  <c r="K9" i="5"/>
  <c r="J9" i="5"/>
  <c r="I9" i="5"/>
  <c r="H9" i="5"/>
  <c r="G9" i="5"/>
  <c r="F9" i="5"/>
  <c r="D9" i="5"/>
  <c r="C9" i="5"/>
  <c r="X8" i="5"/>
  <c r="W8" i="5"/>
  <c r="V8" i="5"/>
  <c r="U8" i="5"/>
  <c r="T8" i="5"/>
  <c r="S8" i="5"/>
  <c r="R8" i="5"/>
  <c r="Q8" i="5"/>
  <c r="P8" i="5"/>
  <c r="O8" i="5"/>
  <c r="N8" i="5"/>
  <c r="M8" i="5"/>
  <c r="L8" i="5"/>
  <c r="K8" i="5"/>
  <c r="J8" i="5"/>
  <c r="I8" i="5"/>
  <c r="H8" i="5"/>
  <c r="G8" i="5"/>
  <c r="F8" i="5"/>
  <c r="D8" i="5"/>
  <c r="C8" i="5"/>
  <c r="X7" i="5"/>
  <c r="W7" i="5"/>
  <c r="V7" i="5"/>
  <c r="U7" i="5"/>
  <c r="T7" i="5"/>
  <c r="S7" i="5"/>
  <c r="R7" i="5"/>
  <c r="Q7" i="5"/>
  <c r="P7" i="5"/>
  <c r="O7" i="5"/>
  <c r="N7" i="5"/>
  <c r="M7" i="5"/>
  <c r="L7" i="5"/>
  <c r="K7" i="5"/>
  <c r="J7" i="5"/>
  <c r="I7" i="5"/>
  <c r="H7" i="5"/>
  <c r="G7" i="5"/>
  <c r="F7" i="5"/>
  <c r="D7" i="5"/>
  <c r="C7" i="5"/>
  <c r="X6" i="5"/>
  <c r="W6" i="5"/>
  <c r="V6" i="5"/>
  <c r="U6" i="5"/>
  <c r="T6" i="5"/>
  <c r="S6" i="5"/>
  <c r="R6" i="5"/>
  <c r="Q6" i="5"/>
  <c r="P6" i="5"/>
  <c r="O6" i="5"/>
  <c r="N6" i="5"/>
  <c r="M6" i="5"/>
  <c r="L6" i="5"/>
  <c r="K6" i="5"/>
  <c r="J6" i="5"/>
  <c r="I6" i="5"/>
  <c r="H6" i="5"/>
  <c r="G6" i="5"/>
  <c r="F6" i="5"/>
  <c r="D6" i="5"/>
  <c r="C6" i="5"/>
  <c r="X5" i="5"/>
  <c r="W5" i="5"/>
  <c r="V5" i="5"/>
  <c r="U5" i="5"/>
  <c r="T5" i="5"/>
  <c r="S5" i="5"/>
  <c r="R5" i="5"/>
  <c r="Q5" i="5"/>
  <c r="P5" i="5"/>
  <c r="O5" i="5"/>
  <c r="N5" i="5"/>
  <c r="M5" i="5"/>
  <c r="L5" i="5"/>
  <c r="K5" i="5"/>
  <c r="J5" i="5"/>
  <c r="I5" i="5"/>
  <c r="H5" i="5"/>
  <c r="G5" i="5"/>
  <c r="F5" i="5"/>
  <c r="D5" i="5"/>
  <c r="C5" i="5"/>
  <c r="H14" i="15"/>
  <c r="G14" i="15"/>
  <c r="L12" i="15"/>
  <c r="K12" i="15"/>
  <c r="J12" i="15"/>
  <c r="I12" i="15"/>
  <c r="H12" i="15"/>
  <c r="G12" i="15"/>
  <c r="D12" i="15"/>
  <c r="H11" i="15"/>
  <c r="G11" i="15"/>
  <c r="E9" i="15"/>
  <c r="J8" i="15"/>
  <c r="H5" i="15"/>
  <c r="G5" i="15"/>
  <c r="A128" i="12"/>
  <c r="J128" i="12" s="1"/>
  <c r="A127" i="12"/>
  <c r="A126" i="12"/>
  <c r="A125" i="12"/>
  <c r="J125" i="12" s="1"/>
  <c r="A124" i="12"/>
  <c r="A123" i="12"/>
  <c r="A122" i="12"/>
  <c r="J122" i="12" s="1"/>
  <c r="J120" i="12"/>
  <c r="J119" i="12"/>
  <c r="L116" i="12"/>
  <c r="A116" i="12"/>
  <c r="J116" i="12" s="1"/>
  <c r="L115" i="12"/>
  <c r="A115" i="12"/>
  <c r="L114" i="12"/>
  <c r="A114" i="12"/>
  <c r="J114" i="12" s="1"/>
  <c r="L113" i="12"/>
  <c r="A113" i="12"/>
  <c r="B113" i="12" s="1"/>
  <c r="K113" i="12" s="1"/>
  <c r="L112" i="12"/>
  <c r="A112" i="12"/>
  <c r="J112" i="12" s="1"/>
  <c r="L111" i="12"/>
  <c r="A111" i="12"/>
  <c r="B111" i="12" s="1"/>
  <c r="K111" i="12" s="1"/>
  <c r="L110" i="12"/>
  <c r="A110" i="12"/>
  <c r="J110" i="12" s="1"/>
  <c r="L109" i="12"/>
  <c r="A109" i="12"/>
  <c r="L108" i="12"/>
  <c r="A108" i="12"/>
  <c r="L107" i="12"/>
  <c r="A107" i="12"/>
  <c r="J107" i="12" s="1"/>
  <c r="L106" i="12"/>
  <c r="A106" i="12"/>
  <c r="B106" i="12" s="1"/>
  <c r="K106" i="12" s="1"/>
  <c r="L105" i="12"/>
  <c r="A105" i="12"/>
  <c r="J105" i="12" s="1"/>
  <c r="L104" i="12"/>
  <c r="A104" i="12"/>
  <c r="J104" i="12" s="1"/>
  <c r="L103" i="12"/>
  <c r="A103" i="12"/>
  <c r="L102" i="12"/>
  <c r="A102" i="12"/>
  <c r="J102" i="12" s="1"/>
  <c r="L101" i="12"/>
  <c r="A101" i="12"/>
  <c r="L100" i="12"/>
  <c r="A100" i="12"/>
  <c r="J100" i="12" s="1"/>
  <c r="L99" i="12"/>
  <c r="A99" i="12"/>
  <c r="B99" i="12" s="1"/>
  <c r="K99" i="12" s="1"/>
  <c r="L98" i="12"/>
  <c r="A98" i="12"/>
  <c r="B98" i="12" s="1"/>
  <c r="K98" i="12" s="1"/>
  <c r="L97" i="12"/>
  <c r="A97" i="12"/>
  <c r="L96" i="12"/>
  <c r="A96" i="12"/>
  <c r="L95" i="12"/>
  <c r="A95" i="12"/>
  <c r="L94" i="12"/>
  <c r="D94" i="12"/>
  <c r="A94" i="12"/>
  <c r="B94" i="12" s="1"/>
  <c r="K94" i="12" s="1"/>
  <c r="L93" i="12"/>
  <c r="D93" i="12"/>
  <c r="A93" i="12"/>
  <c r="J93" i="12" s="1"/>
  <c r="L92" i="12"/>
  <c r="F92" i="12"/>
  <c r="E92" i="12"/>
  <c r="D92" i="12"/>
  <c r="C92" i="12"/>
  <c r="A92" i="12"/>
  <c r="B92" i="12" s="1"/>
  <c r="K92" i="12" s="1"/>
  <c r="L91" i="12"/>
  <c r="F91" i="12"/>
  <c r="E91" i="12"/>
  <c r="D91" i="12"/>
  <c r="C91" i="12"/>
  <c r="A91" i="12"/>
  <c r="B91" i="12" s="1"/>
  <c r="K91" i="12" s="1"/>
  <c r="L90" i="12"/>
  <c r="F90" i="12"/>
  <c r="E90" i="12"/>
  <c r="D90" i="12"/>
  <c r="C90" i="12"/>
  <c r="A90" i="12"/>
  <c r="B90" i="12" s="1"/>
  <c r="K90" i="12" s="1"/>
  <c r="L89" i="12"/>
  <c r="F89" i="12"/>
  <c r="E89" i="12"/>
  <c r="D89" i="12"/>
  <c r="C89" i="12"/>
  <c r="A89" i="12"/>
  <c r="J89" i="12" s="1"/>
  <c r="L88" i="12"/>
  <c r="F88" i="12"/>
  <c r="E88" i="12"/>
  <c r="D88" i="12"/>
  <c r="C88" i="12"/>
  <c r="A88" i="12"/>
  <c r="L87" i="12"/>
  <c r="F87" i="12"/>
  <c r="E87" i="12"/>
  <c r="D87" i="12"/>
  <c r="C87" i="12"/>
  <c r="A87" i="12"/>
  <c r="B87" i="12" s="1"/>
  <c r="K87" i="12" s="1"/>
  <c r="L86" i="12"/>
  <c r="F86" i="12"/>
  <c r="E86" i="12"/>
  <c r="D86" i="12"/>
  <c r="C86" i="12"/>
  <c r="A86" i="12"/>
  <c r="J86" i="12" s="1"/>
  <c r="L85" i="12"/>
  <c r="F85" i="12"/>
  <c r="E85" i="12"/>
  <c r="D85" i="12"/>
  <c r="C85" i="12"/>
  <c r="A85" i="12"/>
  <c r="B85" i="12" s="1"/>
  <c r="K85" i="12" s="1"/>
  <c r="L84" i="12"/>
  <c r="F84" i="12"/>
  <c r="E84" i="12"/>
  <c r="D84" i="12"/>
  <c r="C84" i="12"/>
  <c r="A84" i="12"/>
  <c r="B84" i="12" s="1"/>
  <c r="K84" i="12" s="1"/>
  <c r="N83" i="12"/>
  <c r="L83" i="12"/>
  <c r="F83" i="12"/>
  <c r="E83" i="12"/>
  <c r="D83" i="12"/>
  <c r="C83" i="12"/>
  <c r="A83" i="12"/>
  <c r="J83" i="12" s="1"/>
  <c r="N82" i="12"/>
  <c r="L82" i="12"/>
  <c r="F82" i="12"/>
  <c r="E82" i="12"/>
  <c r="D82" i="12"/>
  <c r="C82" i="12"/>
  <c r="A82" i="12"/>
  <c r="N81" i="12"/>
  <c r="L81" i="12"/>
  <c r="F81" i="12"/>
  <c r="E81" i="12"/>
  <c r="D81" i="12"/>
  <c r="C81" i="12"/>
  <c r="A81" i="12"/>
  <c r="N80" i="12"/>
  <c r="L80" i="12"/>
  <c r="F80" i="12"/>
  <c r="E80" i="12"/>
  <c r="D80" i="12"/>
  <c r="C80" i="12"/>
  <c r="A80" i="12"/>
  <c r="J80" i="12" s="1"/>
  <c r="N79" i="12"/>
  <c r="L79" i="12"/>
  <c r="F79" i="12"/>
  <c r="E79" i="12"/>
  <c r="D79" i="12"/>
  <c r="C79" i="12"/>
  <c r="A79" i="12"/>
  <c r="N78" i="12"/>
  <c r="L78" i="12"/>
  <c r="F78" i="12"/>
  <c r="E78" i="12"/>
  <c r="D78" i="12"/>
  <c r="C78" i="12"/>
  <c r="A78" i="12"/>
  <c r="J78" i="12" s="1"/>
  <c r="N77" i="12"/>
  <c r="L77" i="12"/>
  <c r="F77" i="12"/>
  <c r="E77" i="12"/>
  <c r="D77" i="12"/>
  <c r="C77" i="12"/>
  <c r="A77" i="12"/>
  <c r="J77" i="12" s="1"/>
  <c r="N76" i="12"/>
  <c r="L76" i="12"/>
  <c r="F76" i="12"/>
  <c r="E76" i="12"/>
  <c r="D76" i="12"/>
  <c r="C76" i="12"/>
  <c r="A76" i="12"/>
  <c r="N75" i="12"/>
  <c r="L75" i="12"/>
  <c r="F75" i="12"/>
  <c r="E75" i="12"/>
  <c r="D75" i="12"/>
  <c r="C75" i="12"/>
  <c r="A75" i="12"/>
  <c r="B75" i="12" s="1"/>
  <c r="K75" i="12" s="1"/>
  <c r="N74" i="12"/>
  <c r="L74" i="12"/>
  <c r="F74" i="12"/>
  <c r="E74" i="12"/>
  <c r="D74" i="12"/>
  <c r="C74" i="12"/>
  <c r="A74" i="12"/>
  <c r="J74" i="12" s="1"/>
  <c r="L73" i="12"/>
  <c r="F73" i="12"/>
  <c r="E73" i="12"/>
  <c r="D73" i="12"/>
  <c r="C73" i="12"/>
  <c r="A73" i="12"/>
  <c r="J73" i="12" s="1"/>
  <c r="F72" i="12"/>
  <c r="E72" i="12"/>
  <c r="D72" i="12"/>
  <c r="C72" i="12"/>
  <c r="A72" i="12"/>
  <c r="B72" i="12" s="1"/>
  <c r="F71" i="12"/>
  <c r="E71" i="12"/>
  <c r="D71" i="12"/>
  <c r="C71" i="12"/>
  <c r="A71" i="12"/>
  <c r="B71" i="12"/>
  <c r="F70" i="12"/>
  <c r="E70" i="12"/>
  <c r="D70" i="12"/>
  <c r="C70" i="12"/>
  <c r="A70" i="12"/>
  <c r="B70" i="12" s="1"/>
  <c r="F69" i="12"/>
  <c r="E69" i="12"/>
  <c r="D69" i="12"/>
  <c r="C69" i="12"/>
  <c r="A69" i="12"/>
  <c r="B69" i="12" s="1"/>
  <c r="B68" i="12"/>
  <c r="A68" i="12"/>
  <c r="B67" i="12"/>
  <c r="A67" i="12"/>
  <c r="B66" i="12"/>
  <c r="A66" i="12"/>
  <c r="B65" i="12"/>
  <c r="A65" i="12"/>
  <c r="B64" i="12"/>
  <c r="A64" i="12"/>
  <c r="B63" i="12"/>
  <c r="A63" i="12"/>
  <c r="B62" i="12"/>
  <c r="A62" i="12"/>
  <c r="B61" i="12"/>
  <c r="A61" i="12"/>
  <c r="B60" i="12"/>
  <c r="A60" i="12"/>
  <c r="B59" i="12"/>
  <c r="A59" i="12"/>
  <c r="B58" i="12"/>
  <c r="A58" i="12"/>
  <c r="B57" i="12"/>
  <c r="A57" i="12"/>
  <c r="B56" i="12"/>
  <c r="A56" i="12"/>
  <c r="B55" i="12"/>
  <c r="A55" i="12"/>
  <c r="B54" i="12"/>
  <c r="A54" i="12"/>
  <c r="B53" i="12"/>
  <c r="A53" i="12"/>
  <c r="B52" i="12"/>
  <c r="A52" i="12"/>
  <c r="B51" i="12"/>
  <c r="A51" i="12"/>
  <c r="B50" i="12"/>
  <c r="A50" i="12"/>
  <c r="B49" i="12"/>
  <c r="A49" i="12"/>
  <c r="B48" i="12"/>
  <c r="A48" i="12"/>
  <c r="B47" i="12"/>
  <c r="A47" i="12"/>
  <c r="B46" i="12"/>
  <c r="A46" i="12"/>
  <c r="B45" i="12"/>
  <c r="A45" i="12"/>
  <c r="B44" i="12"/>
  <c r="A44"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E9" i="12"/>
  <c r="B9" i="12"/>
  <c r="BR115" i="1"/>
  <c r="BR114" i="1"/>
  <c r="BR110" i="1"/>
  <c r="BR109" i="1"/>
  <c r="BR112" i="1" s="1"/>
  <c r="BR107" i="1"/>
  <c r="BV101" i="1"/>
  <c r="BV107" i="1" s="1"/>
  <c r="BU101" i="1"/>
  <c r="BU107" i="1" s="1"/>
  <c r="BR98" i="1"/>
  <c r="G97" i="1"/>
  <c r="H96" i="1"/>
  <c r="BP81" i="1"/>
  <c r="BO81" i="1"/>
  <c r="BN81" i="1"/>
  <c r="BM81" i="1"/>
  <c r="BL81" i="1"/>
  <c r="BK81" i="1"/>
  <c r="BJ81" i="1"/>
  <c r="BI81" i="1"/>
  <c r="BH81" i="1"/>
  <c r="BG81" i="1"/>
  <c r="BF81" i="1"/>
  <c r="BE81" i="1"/>
  <c r="BD81" i="1"/>
  <c r="BC81" i="1"/>
  <c r="BB81" i="1"/>
  <c r="BA81" i="1"/>
  <c r="AZ81" i="1"/>
  <c r="AY81" i="1"/>
  <c r="AX81" i="1"/>
  <c r="AW81" i="1"/>
  <c r="AJ81" i="1"/>
  <c r="AH81" i="1"/>
  <c r="AD81" i="1"/>
  <c r="Z81" i="1"/>
  <c r="Y81" i="1"/>
  <c r="V81" i="1"/>
  <c r="U81" i="1"/>
  <c r="T81" i="1"/>
  <c r="R81" i="1"/>
  <c r="Q81" i="1"/>
  <c r="N81" i="1"/>
  <c r="J81" i="1"/>
  <c r="I81" i="1"/>
  <c r="H81" i="1"/>
  <c r="G81" i="1"/>
  <c r="F81" i="1"/>
  <c r="E81" i="1"/>
  <c r="D81" i="1"/>
  <c r="C81" i="1"/>
  <c r="B81" i="1"/>
  <c r="BP71" i="1"/>
  <c r="BO71" i="1"/>
  <c r="BN71" i="1"/>
  <c r="BM71" i="1"/>
  <c r="BL71" i="1"/>
  <c r="BK71" i="1"/>
  <c r="BJ71" i="1"/>
  <c r="BI71" i="1"/>
  <c r="BI73" i="1" s="1"/>
  <c r="BI75" i="1" s="1"/>
  <c r="BH71" i="1"/>
  <c r="BG71" i="1"/>
  <c r="BG73" i="1" s="1"/>
  <c r="BG75" i="1" s="1"/>
  <c r="BF71" i="1"/>
  <c r="BE71" i="1"/>
  <c r="BD71" i="1"/>
  <c r="BD73" i="1" s="1"/>
  <c r="BC71" i="1"/>
  <c r="BB71" i="1"/>
  <c r="BA71" i="1"/>
  <c r="AZ71" i="1"/>
  <c r="AY71" i="1"/>
  <c r="AX71" i="1"/>
  <c r="AW71" i="1"/>
  <c r="F71" i="1"/>
  <c r="E71" i="1"/>
  <c r="D71" i="1"/>
  <c r="C71" i="1"/>
  <c r="B71" i="1"/>
  <c r="A71" i="1"/>
  <c r="BM60" i="1"/>
  <c r="CA50" i="1"/>
  <c r="CB50" i="1" s="1"/>
  <c r="CC50" i="1" s="1"/>
  <c r="CD50" i="1" s="1"/>
  <c r="CA49" i="1"/>
  <c r="CB49" i="1" s="1"/>
  <c r="CC49" i="1" s="1"/>
  <c r="CD49" i="1" s="1"/>
  <c r="W49" i="1"/>
  <c r="X49" i="1" s="1"/>
  <c r="Y49" i="1" s="1"/>
  <c r="Z49" i="1" s="1"/>
  <c r="AA49" i="1" s="1"/>
  <c r="AB49" i="1" s="1"/>
  <c r="AC49" i="1" s="1"/>
  <c r="AD49" i="1" s="1"/>
  <c r="AE49" i="1" s="1"/>
  <c r="AF49" i="1" s="1"/>
  <c r="AG49" i="1" s="1"/>
  <c r="AH49" i="1" s="1"/>
  <c r="AI49" i="1" s="1"/>
  <c r="AJ49" i="1" s="1"/>
  <c r="AK49" i="1" s="1"/>
  <c r="AL49" i="1" s="1"/>
  <c r="AM49" i="1" s="1"/>
  <c r="AN49" i="1" s="1"/>
  <c r="CA48" i="1"/>
  <c r="CB48" i="1" s="1"/>
  <c r="CC48" i="1" s="1"/>
  <c r="CD48" i="1" s="1"/>
  <c r="W48" i="1"/>
  <c r="CA47" i="1"/>
  <c r="CB47" i="1" s="1"/>
  <c r="CC47" i="1" s="1"/>
  <c r="CD47" i="1" s="1"/>
  <c r="CA46" i="1"/>
  <c r="CB46" i="1" s="1"/>
  <c r="CC46" i="1" s="1"/>
  <c r="CD46" i="1" s="1"/>
  <c r="CA45" i="1"/>
  <c r="CB45" i="1" s="1"/>
  <c r="CC45" i="1" s="1"/>
  <c r="CD45" i="1" s="1"/>
  <c r="W45" i="1"/>
  <c r="CA44" i="1"/>
  <c r="CB44" i="1" s="1"/>
  <c r="CC44" i="1" s="1"/>
  <c r="CD44" i="1" s="1"/>
  <c r="AK44" i="1"/>
  <c r="BP22" i="1"/>
  <c r="BO22" i="1"/>
  <c r="BN22" i="1"/>
  <c r="BM22" i="1"/>
  <c r="BL22" i="1"/>
  <c r="BK22" i="1"/>
  <c r="BJ22" i="1"/>
  <c r="BI22" i="1"/>
  <c r="BH22" i="1"/>
  <c r="BG22" i="1"/>
  <c r="BF22" i="1"/>
  <c r="BE22" i="1"/>
  <c r="BD22" i="1"/>
  <c r="BC22" i="1"/>
  <c r="BB22" i="1"/>
  <c r="BA22" i="1"/>
  <c r="AZ22" i="1"/>
  <c r="AY22" i="1"/>
  <c r="AX22" i="1"/>
  <c r="AW22" i="1"/>
  <c r="AJ22" i="1"/>
  <c r="AI22" i="1"/>
  <c r="AH22" i="1"/>
  <c r="AG22" i="1"/>
  <c r="AF22" i="1"/>
  <c r="AE22" i="1"/>
  <c r="AD22" i="1"/>
  <c r="AC22" i="1"/>
  <c r="AC24" i="1" s="1"/>
  <c r="AB22" i="1"/>
  <c r="AA22" i="1"/>
  <c r="Z22" i="1"/>
  <c r="Y22" i="1"/>
  <c r="X22" i="1"/>
  <c r="W22" i="1"/>
  <c r="V22" i="1"/>
  <c r="U22" i="1"/>
  <c r="T22" i="1"/>
  <c r="S22" i="1"/>
  <c r="R22" i="1"/>
  <c r="Q22" i="1"/>
  <c r="P22" i="1"/>
  <c r="O22" i="1"/>
  <c r="M22" i="1"/>
  <c r="L22" i="1"/>
  <c r="K22" i="1"/>
  <c r="J22" i="1"/>
  <c r="I22" i="1"/>
  <c r="H22" i="1"/>
  <c r="G22" i="1"/>
  <c r="F22" i="1"/>
  <c r="E22" i="1"/>
  <c r="D22" i="1"/>
  <c r="C22" i="1"/>
  <c r="B22" i="1"/>
  <c r="A22" i="1"/>
  <c r="CD19" i="1"/>
  <c r="CD12" i="1" s="1"/>
  <c r="CC19" i="1"/>
  <c r="CC12" i="1" s="1"/>
  <c r="CB19" i="1"/>
  <c r="CB12" i="1" s="1"/>
  <c r="CA19" i="1"/>
  <c r="AJ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AI18" i="1"/>
  <c r="AI19" i="1" s="1"/>
  <c r="CA12" i="1"/>
  <c r="CA14" i="1" s="1"/>
  <c r="BP11" i="1"/>
  <c r="BO11" i="1"/>
  <c r="BN11" i="1"/>
  <c r="BM11" i="1"/>
  <c r="BL11" i="1"/>
  <c r="BK11" i="1"/>
  <c r="BJ11" i="1"/>
  <c r="BJ72" i="1" s="1"/>
  <c r="BI11" i="1"/>
  <c r="BH11" i="1"/>
  <c r="BG11" i="1"/>
  <c r="BF11" i="1"/>
  <c r="BE11" i="1"/>
  <c r="BD11" i="1"/>
  <c r="BC11" i="1"/>
  <c r="BB11" i="1"/>
  <c r="BA11" i="1"/>
  <c r="AZ11" i="1"/>
  <c r="AY11" i="1"/>
  <c r="AX11" i="1"/>
  <c r="AW11" i="1"/>
  <c r="AK11" i="1"/>
  <c r="E5" i="15" s="1"/>
  <c r="F5" i="15" s="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C11" i="1"/>
  <c r="B11" i="1"/>
  <c r="C9" i="1"/>
  <c r="D9" i="1" s="1"/>
  <c r="E9" i="1" s="1"/>
  <c r="F9" i="1" s="1"/>
  <c r="G9" i="1" s="1"/>
  <c r="H9" i="1" s="1"/>
  <c r="I9" i="1" s="1"/>
  <c r="J9" i="1" s="1"/>
  <c r="K9" i="1" s="1"/>
  <c r="L9" i="1" s="1"/>
  <c r="M9" i="1" s="1"/>
  <c r="N9" i="1" s="1"/>
  <c r="O9" i="1" s="1"/>
  <c r="P9" i="1" s="1"/>
  <c r="Q9" i="1" s="1"/>
  <c r="R9" i="1" s="1"/>
  <c r="S9" i="1" s="1"/>
  <c r="T9" i="1" s="1"/>
  <c r="U9" i="1" s="1"/>
  <c r="V9" i="1" s="1"/>
  <c r="W9" i="1" s="1"/>
  <c r="X9" i="1" s="1"/>
  <c r="Y9" i="1" s="1"/>
  <c r="Z9" i="1" s="1"/>
  <c r="AA9" i="1" s="1"/>
  <c r="AB9" i="1" s="1"/>
  <c r="AC9" i="1" s="1"/>
  <c r="AD9" i="1" s="1"/>
  <c r="AE9" i="1" s="1"/>
  <c r="AF9" i="1" s="1"/>
  <c r="AG9" i="1" s="1"/>
  <c r="AH9" i="1" s="1"/>
  <c r="AI9" i="1" s="1"/>
  <c r="AJ9" i="1" s="1"/>
  <c r="AK9" i="1" s="1"/>
  <c r="AL9" i="1" s="1"/>
  <c r="AM9" i="1" s="1"/>
  <c r="AN9" i="1" s="1"/>
  <c r="AW8" i="1"/>
  <c r="AC8" i="1"/>
  <c r="B8" i="1"/>
  <c r="CD7" i="1"/>
  <c r="CC7" i="1"/>
  <c r="CB7" i="1"/>
  <c r="CA7" i="1"/>
  <c r="BY7" i="1"/>
  <c r="BX7" i="1"/>
  <c r="BW7" i="1"/>
  <c r="BV7" i="1"/>
  <c r="BU7" i="1"/>
  <c r="BT7" i="1"/>
  <c r="BS7" i="1"/>
  <c r="BR7" i="1"/>
  <c r="BQ7" i="1"/>
  <c r="BP7" i="1"/>
  <c r="BO7" i="1"/>
  <c r="BN7" i="1"/>
  <c r="BM7" i="1"/>
  <c r="BL7" i="1"/>
  <c r="AO7" i="1"/>
  <c r="AM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C7" i="1"/>
  <c r="B7" i="1"/>
  <c r="CD6" i="1"/>
  <c r="CD73" i="1" s="1"/>
  <c r="CC6" i="1"/>
  <c r="CC40" i="1" s="1"/>
  <c r="CB6" i="1"/>
  <c r="CB73" i="1" s="1"/>
  <c r="CA6" i="1"/>
  <c r="CA73" i="1" s="1"/>
  <c r="BY6" i="1"/>
  <c r="BY40" i="1" s="1"/>
  <c r="BX6" i="1"/>
  <c r="BW6" i="1"/>
  <c r="BW40" i="1" s="1"/>
  <c r="BV6" i="1"/>
  <c r="BV40" i="1" s="1"/>
  <c r="BU6" i="1"/>
  <c r="BU41" i="1" s="1"/>
  <c r="BT6" i="1"/>
  <c r="BS6" i="1"/>
  <c r="BR6" i="1"/>
  <c r="BQ6" i="1"/>
  <c r="BP6" i="1"/>
  <c r="BO6" i="1"/>
  <c r="BN6" i="1"/>
  <c r="BM6" i="1"/>
  <c r="BL6" i="1"/>
  <c r="AO6" i="1"/>
  <c r="AM6" i="1"/>
  <c r="AM41" i="1" s="1"/>
  <c r="AK6" i="1"/>
  <c r="AK39" i="1" s="1"/>
  <c r="AJ6" i="1"/>
  <c r="AJ40" i="1" s="1"/>
  <c r="AI6" i="1"/>
  <c r="AI41" i="1" s="1"/>
  <c r="AH6" i="1"/>
  <c r="AH40" i="1" s="1"/>
  <c r="AG6" i="1"/>
  <c r="AG39" i="1" s="1"/>
  <c r="AF6" i="1"/>
  <c r="AF39" i="1" s="1"/>
  <c r="AE6" i="1"/>
  <c r="AE39" i="1" s="1"/>
  <c r="AE41" i="1"/>
  <c r="AD6" i="1"/>
  <c r="AD41" i="1" s="1"/>
  <c r="AC6" i="1"/>
  <c r="AC41" i="1" s="1"/>
  <c r="AB6" i="1"/>
  <c r="AB39" i="1" s="1"/>
  <c r="AA6" i="1"/>
  <c r="AA41" i="1" s="1"/>
  <c r="Z6" i="1"/>
  <c r="Z41" i="1" s="1"/>
  <c r="Y6" i="1"/>
  <c r="Y41" i="1" s="1"/>
  <c r="X6" i="1"/>
  <c r="X41" i="1" s="1"/>
  <c r="W6" i="1"/>
  <c r="W39" i="1" s="1"/>
  <c r="V6" i="1"/>
  <c r="V40" i="1" s="1"/>
  <c r="U6" i="1"/>
  <c r="T6" i="1"/>
  <c r="S6" i="1"/>
  <c r="R6" i="1"/>
  <c r="Q6" i="1"/>
  <c r="P6" i="1"/>
  <c r="O6" i="1"/>
  <c r="N6" i="1"/>
  <c r="M6" i="1"/>
  <c r="L6" i="1"/>
  <c r="K6" i="1"/>
  <c r="J6" i="1"/>
  <c r="I6" i="1"/>
  <c r="H6" i="1"/>
  <c r="G6" i="1"/>
  <c r="F6" i="1"/>
  <c r="E6" i="1"/>
  <c r="D6" i="1"/>
  <c r="C6" i="1"/>
  <c r="B6" i="1"/>
  <c r="BJ3" i="1"/>
  <c r="BI3" i="1"/>
  <c r="BH3" i="1"/>
  <c r="BG3" i="1"/>
  <c r="BH4" i="1" s="1"/>
  <c r="BF3" i="1"/>
  <c r="BE3" i="1"/>
  <c r="BD3" i="1"/>
  <c r="BC3" i="1"/>
  <c r="BB3" i="1"/>
  <c r="BA3" i="1"/>
  <c r="AZ3" i="1"/>
  <c r="AY3" i="1"/>
  <c r="AX3" i="1"/>
  <c r="AX4" i="1" s="1"/>
  <c r="AO3" i="1"/>
  <c r="AM3" i="1"/>
  <c r="AM5" i="1"/>
  <c r="AK3" i="1"/>
  <c r="AL5" i="1" s="1"/>
  <c r="AJ3" i="1"/>
  <c r="AI3" i="1"/>
  <c r="AH3" i="1"/>
  <c r="AG3" i="1"/>
  <c r="AF3" i="1"/>
  <c r="AE3" i="1"/>
  <c r="AD3" i="1"/>
  <c r="AE5" i="1" s="1"/>
  <c r="AC3" i="1"/>
  <c r="AB3" i="1"/>
  <c r="AB5" i="1" s="1"/>
  <c r="AA3" i="1"/>
  <c r="Z3" i="1"/>
  <c r="AA5" i="1" s="1"/>
  <c r="Y3" i="1"/>
  <c r="Y4" i="1" s="1"/>
  <c r="X3" i="1"/>
  <c r="W3" i="1"/>
  <c r="V3" i="1"/>
  <c r="U3" i="1"/>
  <c r="T3" i="1"/>
  <c r="S3" i="1"/>
  <c r="R3" i="1"/>
  <c r="Q3" i="1"/>
  <c r="P3" i="1"/>
  <c r="T4" i="1" s="1"/>
  <c r="O3" i="1"/>
  <c r="N3" i="1"/>
  <c r="M3" i="1"/>
  <c r="L3" i="1"/>
  <c r="K3" i="1"/>
  <c r="J3" i="1"/>
  <c r="I3" i="1"/>
  <c r="H3" i="1"/>
  <c r="G3" i="1"/>
  <c r="F3" i="1"/>
  <c r="E3" i="1"/>
  <c r="D3" i="1"/>
  <c r="C3" i="1"/>
  <c r="B3" i="1"/>
  <c r="CD2" i="1"/>
  <c r="CC2" i="1"/>
  <c r="CB2" i="1"/>
  <c r="CA2" i="1"/>
  <c r="BY2" i="1"/>
  <c r="BX2" i="1"/>
  <c r="BY3" i="1" s="1"/>
  <c r="BW2" i="1"/>
  <c r="BV2" i="1"/>
  <c r="BU2" i="1"/>
  <c r="BT2" i="1"/>
  <c r="BS2" i="1"/>
  <c r="BR2" i="1"/>
  <c r="BQ2" i="1"/>
  <c r="BP2" i="1"/>
  <c r="BO2" i="1"/>
  <c r="BN2" i="1"/>
  <c r="BM2" i="1"/>
  <c r="BL2" i="1"/>
  <c r="BK2" i="1"/>
  <c r="BK3" i="1" s="1"/>
  <c r="AO2" i="1"/>
  <c r="AM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 r="C2" i="1"/>
  <c r="B2" i="1"/>
  <c r="AX1" i="1"/>
  <c r="AY1" i="1" s="1"/>
  <c r="AD1" i="1"/>
  <c r="AD8" i="1" s="1"/>
  <c r="C1" i="1"/>
  <c r="CD163" i="2"/>
  <c r="CC163" i="2"/>
  <c r="CB163" i="2"/>
  <c r="CA163" i="2"/>
  <c r="J159" i="2"/>
  <c r="J157" i="2"/>
  <c r="J156" i="2"/>
  <c r="BP154" i="2"/>
  <c r="BO154" i="2"/>
  <c r="BN154" i="2"/>
  <c r="BM154" i="2"/>
  <c r="BL154" i="2"/>
  <c r="BK154" i="2"/>
  <c r="BJ154" i="2"/>
  <c r="BI154" i="2"/>
  <c r="BH154" i="2"/>
  <c r="BG154" i="2"/>
  <c r="BF154" i="2"/>
  <c r="BE154" i="2"/>
  <c r="BD154" i="2"/>
  <c r="BC154" i="2"/>
  <c r="BB154" i="2"/>
  <c r="BA154" i="2"/>
  <c r="AZ154" i="2"/>
  <c r="AY154" i="2"/>
  <c r="AX154" i="2"/>
  <c r="AW154" i="2"/>
  <c r="B154" i="2"/>
  <c r="CD150" i="2"/>
  <c r="CC150" i="2"/>
  <c r="CB150" i="2"/>
  <c r="CA150" i="2"/>
  <c r="BY150" i="2"/>
  <c r="BX150" i="2"/>
  <c r="BW150" i="2"/>
  <c r="BV150" i="2"/>
  <c r="BU150" i="2"/>
  <c r="BT150" i="2"/>
  <c r="AJ150" i="2"/>
  <c r="AI150" i="2"/>
  <c r="AH150" i="2"/>
  <c r="AH152" i="2" s="1"/>
  <c r="AG150" i="2"/>
  <c r="AF150" i="2"/>
  <c r="AE150" i="2"/>
  <c r="AE152" i="2" s="1"/>
  <c r="AD150" i="2"/>
  <c r="AD152" i="2" s="1"/>
  <c r="AC150" i="2"/>
  <c r="AC152" i="2" s="1"/>
  <c r="AB150" i="2"/>
  <c r="AA150" i="2"/>
  <c r="Z150" i="2"/>
  <c r="Y150" i="2"/>
  <c r="X150" i="2"/>
  <c r="W150" i="2"/>
  <c r="W152" i="2" s="1"/>
  <c r="V150" i="2"/>
  <c r="V152" i="2" s="1"/>
  <c r="U150" i="2"/>
  <c r="T150" i="2"/>
  <c r="S150" i="2"/>
  <c r="R150" i="2"/>
  <c r="R152" i="2" s="1"/>
  <c r="Q150" i="2"/>
  <c r="P150" i="2"/>
  <c r="O150" i="2"/>
  <c r="N150" i="2"/>
  <c r="M150" i="2"/>
  <c r="L150" i="2"/>
  <c r="K150" i="2"/>
  <c r="J150" i="2"/>
  <c r="J152" i="2" s="1"/>
  <c r="I150" i="2"/>
  <c r="H150" i="2"/>
  <c r="G150" i="2"/>
  <c r="F150" i="2"/>
  <c r="E150" i="2"/>
  <c r="D150" i="2"/>
  <c r="C150" i="2"/>
  <c r="B150" i="2"/>
  <c r="B152" i="2" s="1"/>
  <c r="BP148" i="2"/>
  <c r="BO148" i="2"/>
  <c r="BN148" i="2"/>
  <c r="BM148" i="2"/>
  <c r="BL148" i="2"/>
  <c r="BK148" i="2"/>
  <c r="BJ148" i="2"/>
  <c r="BI148" i="2"/>
  <c r="BH148" i="2"/>
  <c r="BG148" i="2"/>
  <c r="BF148" i="2"/>
  <c r="BE148" i="2"/>
  <c r="BD148" i="2"/>
  <c r="BC148" i="2"/>
  <c r="BB148" i="2"/>
  <c r="BA148" i="2"/>
  <c r="AZ148" i="2"/>
  <c r="AY148" i="2"/>
  <c r="AX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E152" i="2" s="1"/>
  <c r="D148" i="2"/>
  <c r="C148" i="2"/>
  <c r="B148" i="2"/>
  <c r="BP144" i="2"/>
  <c r="BO144" i="2"/>
  <c r="BN144" i="2"/>
  <c r="BM144" i="2"/>
  <c r="BL144" i="2"/>
  <c r="BK144" i="2"/>
  <c r="BJ144" i="2"/>
  <c r="BI144" i="2"/>
  <c r="BH144" i="2"/>
  <c r="BG144" i="2"/>
  <c r="BF144" i="2"/>
  <c r="BE144" i="2"/>
  <c r="BD144" i="2"/>
  <c r="BC144" i="2"/>
  <c r="BB144" i="2"/>
  <c r="BA144" i="2"/>
  <c r="AZ144" i="2"/>
  <c r="AY144" i="2"/>
  <c r="AX144" i="2"/>
  <c r="AW144" i="2"/>
  <c r="AJ144"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D143" i="2"/>
  <c r="C143" i="2"/>
  <c r="BP142" i="2"/>
  <c r="BO142" i="2"/>
  <c r="BN142" i="2"/>
  <c r="BM142" i="2"/>
  <c r="BL142" i="2"/>
  <c r="BK142" i="2"/>
  <c r="BJ142" i="2"/>
  <c r="BI142" i="2"/>
  <c r="BH142" i="2"/>
  <c r="BH143" i="2" s="1"/>
  <c r="BG142" i="2"/>
  <c r="BF142" i="2"/>
  <c r="BE142" i="2"/>
  <c r="BD142" i="2"/>
  <c r="BC142" i="2"/>
  <c r="BB142" i="2"/>
  <c r="BA142" i="2"/>
  <c r="AZ142" i="2"/>
  <c r="AY142" i="2"/>
  <c r="AX142" i="2"/>
  <c r="AW142" i="2"/>
  <c r="AJ142" i="2"/>
  <c r="AJ143" i="2" s="1"/>
  <c r="AI142" i="2"/>
  <c r="AH142" i="2"/>
  <c r="AG142" i="2"/>
  <c r="AF142" i="2"/>
  <c r="AE142" i="2"/>
  <c r="AD142" i="2"/>
  <c r="AC142" i="2"/>
  <c r="AB142" i="2"/>
  <c r="AA142" i="2"/>
  <c r="Z142" i="2"/>
  <c r="Y142" i="2"/>
  <c r="Y143" i="2" s="1"/>
  <c r="Y147" i="2" s="1"/>
  <c r="Y151" i="2" s="1"/>
  <c r="X142" i="2"/>
  <c r="X143" i="2" s="1"/>
  <c r="W142" i="2"/>
  <c r="V142" i="2"/>
  <c r="U142" i="2"/>
  <c r="T142" i="2"/>
  <c r="S142" i="2"/>
  <c r="R142" i="2"/>
  <c r="Q142" i="2"/>
  <c r="P142" i="2"/>
  <c r="O142" i="2"/>
  <c r="N142" i="2"/>
  <c r="M142" i="2"/>
  <c r="L142" i="2"/>
  <c r="K142" i="2"/>
  <c r="J142" i="2"/>
  <c r="I142" i="2"/>
  <c r="H142" i="2"/>
  <c r="G142" i="2"/>
  <c r="F142" i="2"/>
  <c r="E142" i="2"/>
  <c r="D142" i="2"/>
  <c r="C142" i="2"/>
  <c r="B142" i="2"/>
  <c r="BP141" i="2"/>
  <c r="BO141" i="2"/>
  <c r="BN141" i="2"/>
  <c r="BM141" i="2"/>
  <c r="BL141" i="2"/>
  <c r="BK141" i="2"/>
  <c r="BJ141" i="2"/>
  <c r="BI141" i="2"/>
  <c r="BH141" i="2"/>
  <c r="BG141" i="2"/>
  <c r="BF141" i="2"/>
  <c r="BE141" i="2"/>
  <c r="BD141" i="2"/>
  <c r="BC141" i="2"/>
  <c r="BB141" i="2"/>
  <c r="BA141" i="2"/>
  <c r="AZ141" i="2"/>
  <c r="AY141" i="2"/>
  <c r="AX141" i="2"/>
  <c r="AW141" i="2"/>
  <c r="AJ141" i="2"/>
  <c r="AI141" i="2"/>
  <c r="AH141" i="2"/>
  <c r="AG141" i="2"/>
  <c r="AF141" i="2"/>
  <c r="AE141" i="2"/>
  <c r="AD141" i="2"/>
  <c r="AC141" i="2"/>
  <c r="AB141" i="2"/>
  <c r="AA141" i="2"/>
  <c r="Z141" i="2"/>
  <c r="Y141" i="2"/>
  <c r="X141" i="2"/>
  <c r="W141" i="2"/>
  <c r="V141" i="2"/>
  <c r="U141" i="2"/>
  <c r="T141" i="2"/>
  <c r="S141" i="2"/>
  <c r="R141" i="2"/>
  <c r="Q141" i="2"/>
  <c r="M141" i="2"/>
  <c r="L141" i="2"/>
  <c r="K141" i="2"/>
  <c r="I141" i="2"/>
  <c r="H141" i="2"/>
  <c r="G141" i="2"/>
  <c r="F141" i="2"/>
  <c r="E141" i="2"/>
  <c r="D141" i="2"/>
  <c r="C141" i="2"/>
  <c r="B141" i="2"/>
  <c r="BP140" i="2"/>
  <c r="BO140" i="2"/>
  <c r="BN140" i="2"/>
  <c r="BM140" i="2"/>
  <c r="BL140" i="2"/>
  <c r="BK140" i="2"/>
  <c r="BJ140" i="2"/>
  <c r="BI140" i="2"/>
  <c r="BH140" i="2"/>
  <c r="BG140" i="2"/>
  <c r="BF140" i="2"/>
  <c r="BE140" i="2"/>
  <c r="BD140" i="2"/>
  <c r="BC140" i="2"/>
  <c r="BB140" i="2"/>
  <c r="BA140" i="2"/>
  <c r="AZ140" i="2"/>
  <c r="AY140" i="2"/>
  <c r="AX140" i="2"/>
  <c r="AW140" i="2"/>
  <c r="B140" i="2"/>
  <c r="BP137" i="2"/>
  <c r="BO137" i="2"/>
  <c r="BN137" i="2"/>
  <c r="BM137" i="2"/>
  <c r="BL137" i="2"/>
  <c r="BK137" i="2"/>
  <c r="BJ137" i="2"/>
  <c r="BI137" i="2"/>
  <c r="BH137" i="2"/>
  <c r="BG137" i="2"/>
  <c r="BF137" i="2"/>
  <c r="BE137" i="2"/>
  <c r="BD137" i="2"/>
  <c r="BC137" i="2"/>
  <c r="BB137" i="2"/>
  <c r="BA137" i="2"/>
  <c r="AZ137" i="2"/>
  <c r="AY137" i="2"/>
  <c r="AX137" i="2"/>
  <c r="AW137" i="2"/>
  <c r="AJ137" i="2"/>
  <c r="AH137" i="2"/>
  <c r="AD137" i="2"/>
  <c r="Z137" i="2"/>
  <c r="Y137" i="2"/>
  <c r="V137" i="2"/>
  <c r="U137" i="2"/>
  <c r="T137" i="2"/>
  <c r="R137" i="2"/>
  <c r="Q137" i="2"/>
  <c r="N137" i="2"/>
  <c r="J137" i="2"/>
  <c r="I137" i="2"/>
  <c r="H137" i="2"/>
  <c r="G137" i="2"/>
  <c r="F137" i="2"/>
  <c r="E137" i="2"/>
  <c r="D137" i="2"/>
  <c r="C137" i="2"/>
  <c r="B137" i="2"/>
  <c r="BP136" i="2"/>
  <c r="BO136" i="2"/>
  <c r="BN136" i="2"/>
  <c r="BM136" i="2"/>
  <c r="BL136" i="2"/>
  <c r="BK136" i="2"/>
  <c r="BJ136" i="2"/>
  <c r="BI136" i="2"/>
  <c r="BH136" i="2"/>
  <c r="BG136" i="2"/>
  <c r="BF136" i="2"/>
  <c r="BE136" i="2"/>
  <c r="BD136" i="2"/>
  <c r="BC136" i="2"/>
  <c r="BB136" i="2"/>
  <c r="BA136" i="2"/>
  <c r="AZ136" i="2"/>
  <c r="AY136" i="2"/>
  <c r="AX136" i="2"/>
  <c r="AW136" i="2"/>
  <c r="AJ136"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136" i="2"/>
  <c r="BM135" i="2"/>
  <c r="BL135" i="2"/>
  <c r="BM134" i="2"/>
  <c r="BH134" i="2"/>
  <c r="C134" i="2"/>
  <c r="BP133" i="2"/>
  <c r="BP134" i="2" s="1"/>
  <c r="BO133" i="2"/>
  <c r="BO134" i="2" s="1"/>
  <c r="BN133" i="2"/>
  <c r="BL133" i="2"/>
  <c r="BL134" i="2" s="1"/>
  <c r="BK133" i="2"/>
  <c r="BK135" i="2" s="1"/>
  <c r="BJ133" i="2"/>
  <c r="BJ135" i="2" s="1"/>
  <c r="BI133" i="2"/>
  <c r="BH133" i="2"/>
  <c r="BH135" i="2" s="1"/>
  <c r="BG133" i="2"/>
  <c r="BF133" i="2"/>
  <c r="BF134" i="2" s="1"/>
  <c r="BE133" i="2"/>
  <c r="BE135" i="2" s="1"/>
  <c r="BD133" i="2"/>
  <c r="BD135" i="2" s="1"/>
  <c r="BC133" i="2"/>
  <c r="BC135" i="2" s="1"/>
  <c r="BB133" i="2"/>
  <c r="BB134" i="2" s="1"/>
  <c r="BA133" i="2"/>
  <c r="AZ133" i="2"/>
  <c r="AZ135" i="2" s="1"/>
  <c r="AY133" i="2"/>
  <c r="AX133" i="2"/>
  <c r="AX134" i="2" s="1"/>
  <c r="AW133" i="2"/>
  <c r="AH133" i="2"/>
  <c r="AH134" i="2" s="1"/>
  <c r="AD133" i="2"/>
  <c r="AD134" i="2" s="1"/>
  <c r="Z133" i="2"/>
  <c r="Z134" i="2" s="1"/>
  <c r="V133" i="2"/>
  <c r="V134" i="2" s="1"/>
  <c r="R133" i="2"/>
  <c r="R134" i="2" s="1"/>
  <c r="N133" i="2"/>
  <c r="J133" i="2"/>
  <c r="J134" i="2" s="1"/>
  <c r="F133" i="2"/>
  <c r="F134" i="2" s="1"/>
  <c r="E133" i="2"/>
  <c r="D133" i="2"/>
  <c r="D134" i="2" s="1"/>
  <c r="C133" i="2"/>
  <c r="C135" i="2" s="1"/>
  <c r="B133" i="2"/>
  <c r="B135" i="2" s="1"/>
  <c r="BP130" i="2"/>
  <c r="BQ129" i="2" s="1"/>
  <c r="BO130" i="2"/>
  <c r="BN130" i="2"/>
  <c r="BO129" i="2" s="1"/>
  <c r="BM130" i="2"/>
  <c r="BN129" i="2" s="1"/>
  <c r="BL130" i="2"/>
  <c r="BM129" i="2" s="1"/>
  <c r="BK130" i="2"/>
  <c r="BL129" i="2" s="1"/>
  <c r="BJ130" i="2"/>
  <c r="BK129" i="2" s="1"/>
  <c r="BI130" i="2"/>
  <c r="BH130" i="2"/>
  <c r="BI129" i="2" s="1"/>
  <c r="BG130" i="2"/>
  <c r="BH129" i="2" s="1"/>
  <c r="BF130" i="2"/>
  <c r="BG129" i="2" s="1"/>
  <c r="BE130" i="2"/>
  <c r="BF129" i="2" s="1"/>
  <c r="BD130" i="2"/>
  <c r="BE129" i="2" s="1"/>
  <c r="BC130" i="2"/>
  <c r="BB130" i="2"/>
  <c r="BC129" i="2" s="1"/>
  <c r="BA130" i="2"/>
  <c r="AZ130" i="2"/>
  <c r="BA129" i="2" s="1"/>
  <c r="AY130" i="2"/>
  <c r="AZ129" i="2" s="1"/>
  <c r="AX130" i="2"/>
  <c r="AY129" i="2" s="1"/>
  <c r="AW130" i="2"/>
  <c r="AJ130" i="2"/>
  <c r="AK129" i="2" s="1"/>
  <c r="AI130" i="2"/>
  <c r="AJ129" i="2" s="1"/>
  <c r="AH130" i="2"/>
  <c r="AI129" i="2" s="1"/>
  <c r="AG130" i="2"/>
  <c r="AH129" i="2" s="1"/>
  <c r="AF130" i="2"/>
  <c r="AG129" i="2" s="1"/>
  <c r="AE130" i="2"/>
  <c r="AD130" i="2"/>
  <c r="AE129" i="2" s="1"/>
  <c r="AC130" i="2"/>
  <c r="AB130" i="2"/>
  <c r="AC129" i="2" s="1"/>
  <c r="AA130" i="2"/>
  <c r="AB129" i="2" s="1"/>
  <c r="Z130" i="2"/>
  <c r="AA129" i="2" s="1"/>
  <c r="Y130" i="2"/>
  <c r="X130" i="2"/>
  <c r="Y129" i="2" s="1"/>
  <c r="W130" i="2"/>
  <c r="X129" i="2" s="1"/>
  <c r="V130" i="2"/>
  <c r="W129" i="2" s="1"/>
  <c r="U130" i="2"/>
  <c r="V129" i="2" s="1"/>
  <c r="T130" i="2"/>
  <c r="S130" i="2"/>
  <c r="R130" i="2"/>
  <c r="S129" i="2" s="1"/>
  <c r="Q130" i="2"/>
  <c r="R129" i="2" s="1"/>
  <c r="P130" i="2"/>
  <c r="Q129" i="2" s="1"/>
  <c r="O130" i="2"/>
  <c r="P129" i="2" s="1"/>
  <c r="N130" i="2"/>
  <c r="O129" i="2" s="1"/>
  <c r="M130" i="2"/>
  <c r="L130" i="2"/>
  <c r="M129" i="2" s="1"/>
  <c r="K130" i="2"/>
  <c r="L129" i="2" s="1"/>
  <c r="J130" i="2"/>
  <c r="J131" i="2" s="1"/>
  <c r="I130" i="2"/>
  <c r="J129" i="2" s="1"/>
  <c r="H130" i="2"/>
  <c r="I129" i="2" s="1"/>
  <c r="G130" i="2"/>
  <c r="F130" i="2"/>
  <c r="E130" i="2"/>
  <c r="D130" i="2"/>
  <c r="E129" i="2" s="1"/>
  <c r="C130" i="2"/>
  <c r="D129" i="2" s="1"/>
  <c r="B130" i="2"/>
  <c r="C129" i="2" s="1"/>
  <c r="AW129" i="2"/>
  <c r="U129" i="2"/>
  <c r="K129" i="2"/>
  <c r="G129" i="2"/>
  <c r="B129" i="2"/>
  <c r="BP124" i="2"/>
  <c r="BP125" i="2" s="1"/>
  <c r="BO124" i="2"/>
  <c r="BO125" i="2" s="1"/>
  <c r="BN124" i="2"/>
  <c r="BN125" i="2" s="1"/>
  <c r="BM124" i="2"/>
  <c r="BM125" i="2" s="1"/>
  <c r="BL124" i="2"/>
  <c r="BL125" i="2" s="1"/>
  <c r="BK124" i="2"/>
  <c r="BK125" i="2" s="1"/>
  <c r="BJ124" i="2"/>
  <c r="BJ125" i="2" s="1"/>
  <c r="BI124" i="2"/>
  <c r="BI125" i="2" s="1"/>
  <c r="BH124" i="2"/>
  <c r="BH125" i="2" s="1"/>
  <c r="BG124" i="2"/>
  <c r="BG125" i="2" s="1"/>
  <c r="BF124" i="2"/>
  <c r="BF125" i="2" s="1"/>
  <c r="BE124" i="2"/>
  <c r="BE125" i="2" s="1"/>
  <c r="BD124" i="2"/>
  <c r="BD125" i="2" s="1"/>
  <c r="BC124" i="2"/>
  <c r="BC125" i="2" s="1"/>
  <c r="BB124" i="2"/>
  <c r="BB125" i="2" s="1"/>
  <c r="BA124" i="2"/>
  <c r="BA125" i="2" s="1"/>
  <c r="AZ124" i="2"/>
  <c r="AZ125" i="2" s="1"/>
  <c r="AY124" i="2"/>
  <c r="AY125" i="2" s="1"/>
  <c r="AX124" i="2"/>
  <c r="AX125" i="2" s="1"/>
  <c r="AW124" i="2"/>
  <c r="AW125" i="2" s="1"/>
  <c r="AJ124" i="2"/>
  <c r="AI124" i="2"/>
  <c r="AH124" i="2"/>
  <c r="AH125" i="2" s="1"/>
  <c r="AH126" i="2" s="1"/>
  <c r="AG124" i="2"/>
  <c r="AF124" i="2"/>
  <c r="AE124" i="2"/>
  <c r="AD124" i="2"/>
  <c r="AD125" i="2" s="1"/>
  <c r="AC124" i="2"/>
  <c r="AB124" i="2"/>
  <c r="AB125" i="2" s="1"/>
  <c r="AA124" i="2"/>
  <c r="Z124" i="2"/>
  <c r="Y124" i="2"/>
  <c r="X124" i="2"/>
  <c r="W124" i="2"/>
  <c r="V124" i="2"/>
  <c r="U124" i="2"/>
  <c r="U125" i="2" s="1"/>
  <c r="T124" i="2"/>
  <c r="T125" i="2" s="1"/>
  <c r="S124" i="2"/>
  <c r="S125" i="2" s="1"/>
  <c r="R124" i="2"/>
  <c r="R125" i="2" s="1"/>
  <c r="M124" i="2"/>
  <c r="M125" i="2" s="1"/>
  <c r="L124" i="2"/>
  <c r="L125" i="2" s="1"/>
  <c r="I124" i="2"/>
  <c r="I125" i="2" s="1"/>
  <c r="H124" i="2"/>
  <c r="H125" i="2" s="1"/>
  <c r="G124" i="2"/>
  <c r="G125" i="2" s="1"/>
  <c r="F124" i="2"/>
  <c r="F125" i="2" s="1"/>
  <c r="E124" i="2"/>
  <c r="E125" i="2" s="1"/>
  <c r="D124" i="2"/>
  <c r="D125" i="2" s="1"/>
  <c r="C124" i="2"/>
  <c r="C125" i="2" s="1"/>
  <c r="B124" i="2"/>
  <c r="B125" i="2" s="1"/>
  <c r="AH116" i="2"/>
  <c r="AD116" i="2"/>
  <c r="AB116" i="2"/>
  <c r="U116" i="2"/>
  <c r="T116" i="2"/>
  <c r="S116" i="2"/>
  <c r="R116" i="2"/>
  <c r="Q116" i="2"/>
  <c r="P116" i="2"/>
  <c r="O116" i="2"/>
  <c r="N116" i="2"/>
  <c r="M116" i="2"/>
  <c r="L116" i="2"/>
  <c r="K116" i="2"/>
  <c r="J116" i="2"/>
  <c r="I116" i="2"/>
  <c r="H116" i="2"/>
  <c r="G116" i="2"/>
  <c r="F116" i="2"/>
  <c r="E116" i="2"/>
  <c r="D116" i="2"/>
  <c r="C116" i="2"/>
  <c r="B116" i="2"/>
  <c r="AH115" i="2"/>
  <c r="U115" i="2"/>
  <c r="T115" i="2"/>
  <c r="S115" i="2"/>
  <c r="R115" i="2"/>
  <c r="Q115" i="2"/>
  <c r="P115" i="2"/>
  <c r="O115" i="2"/>
  <c r="N115" i="2"/>
  <c r="M115" i="2"/>
  <c r="L115" i="2"/>
  <c r="K115" i="2"/>
  <c r="J115" i="2"/>
  <c r="I115" i="2"/>
  <c r="H115" i="2"/>
  <c r="G115" i="2"/>
  <c r="F115" i="2"/>
  <c r="E115" i="2"/>
  <c r="D115" i="2"/>
  <c r="C115" i="2"/>
  <c r="B115" i="2"/>
  <c r="AI113" i="2"/>
  <c r="AI32" i="2" s="1"/>
  <c r="AE113" i="2"/>
  <c r="AF113" i="2" s="1"/>
  <c r="AF32" i="2" s="1"/>
  <c r="Z113" i="2"/>
  <c r="Y113" i="2"/>
  <c r="Y116" i="2" s="1"/>
  <c r="X113" i="2"/>
  <c r="X116" i="2" s="1"/>
  <c r="W113" i="2"/>
  <c r="V113" i="2"/>
  <c r="BS112" i="2"/>
  <c r="BR112" i="2"/>
  <c r="BQ112" i="2"/>
  <c r="BP112" i="2"/>
  <c r="BO112" i="2"/>
  <c r="BN112" i="2"/>
  <c r="BM112" i="2"/>
  <c r="BL112" i="2"/>
  <c r="BK112" i="2"/>
  <c r="BJ112" i="2"/>
  <c r="BI112" i="2"/>
  <c r="BH112" i="2"/>
  <c r="BG112" i="2"/>
  <c r="BF112" i="2"/>
  <c r="BE112" i="2"/>
  <c r="BD112" i="2"/>
  <c r="BC112" i="2"/>
  <c r="BB112" i="2"/>
  <c r="BA112" i="2"/>
  <c r="AZ112" i="2"/>
  <c r="AY112" i="2"/>
  <c r="AX112" i="2"/>
  <c r="AW112" i="2"/>
  <c r="AJ111" i="2"/>
  <c r="Y111" i="2"/>
  <c r="X111" i="2"/>
  <c r="X112" i="2" s="1"/>
  <c r="W111" i="2"/>
  <c r="W112" i="2" s="1"/>
  <c r="V111" i="2"/>
  <c r="V112" i="2" s="1"/>
  <c r="U111" i="2"/>
  <c r="U112" i="2" s="1"/>
  <c r="T111" i="2"/>
  <c r="T112" i="2" s="1"/>
  <c r="S111" i="2"/>
  <c r="S112" i="2" s="1"/>
  <c r="R111" i="2"/>
  <c r="R112" i="2" s="1"/>
  <c r="Q111" i="2"/>
  <c r="Q112" i="2" s="1"/>
  <c r="P111" i="2"/>
  <c r="P112" i="2" s="1"/>
  <c r="O111" i="2"/>
  <c r="O112" i="2" s="1"/>
  <c r="N111" i="2"/>
  <c r="N112" i="2" s="1"/>
  <c r="M111" i="2"/>
  <c r="M112" i="2" s="1"/>
  <c r="L111" i="2"/>
  <c r="L112" i="2" s="1"/>
  <c r="K111" i="2"/>
  <c r="K112" i="2" s="1"/>
  <c r="J111" i="2"/>
  <c r="J112" i="2" s="1"/>
  <c r="I111" i="2"/>
  <c r="I112" i="2" s="1"/>
  <c r="H111" i="2"/>
  <c r="H112" i="2" s="1"/>
  <c r="G111" i="2"/>
  <c r="G112" i="2" s="1"/>
  <c r="F111" i="2"/>
  <c r="F112" i="2" s="1"/>
  <c r="E111" i="2"/>
  <c r="E112" i="2" s="1"/>
  <c r="D111" i="2"/>
  <c r="D112" i="2" s="1"/>
  <c r="C111" i="2"/>
  <c r="C112" i="2" s="1"/>
  <c r="B111" i="2"/>
  <c r="B112" i="2" s="1"/>
  <c r="AJ110" i="2"/>
  <c r="AK110" i="2" s="1"/>
  <c r="BP109" i="2"/>
  <c r="BO109" i="2"/>
  <c r="BN109" i="2"/>
  <c r="BM109" i="2"/>
  <c r="BL109" i="2"/>
  <c r="BK109" i="2"/>
  <c r="BJ109" i="2"/>
  <c r="BI109" i="2"/>
  <c r="BH109" i="2"/>
  <c r="BG109" i="2"/>
  <c r="BF109" i="2"/>
  <c r="BE109" i="2"/>
  <c r="BD109" i="2"/>
  <c r="BC109" i="2"/>
  <c r="BB109" i="2"/>
  <c r="BA109" i="2"/>
  <c r="AZ109" i="2"/>
  <c r="AY109" i="2"/>
  <c r="AX109" i="2"/>
  <c r="AW109" i="2"/>
  <c r="B109" i="2"/>
  <c r="BP106" i="2"/>
  <c r="BP107" i="2" s="1"/>
  <c r="BO106" i="2"/>
  <c r="BN106" i="2"/>
  <c r="BN107" i="2" s="1"/>
  <c r="BM106" i="2"/>
  <c r="BM107" i="2" s="1"/>
  <c r="BL106" i="2"/>
  <c r="BL107" i="2" s="1"/>
  <c r="BK106" i="2"/>
  <c r="BJ106" i="2"/>
  <c r="BJ107" i="2" s="1"/>
  <c r="BI106" i="2"/>
  <c r="BI107" i="2" s="1"/>
  <c r="BH106" i="2"/>
  <c r="BH107" i="2" s="1"/>
  <c r="BG106" i="2"/>
  <c r="BG107" i="2" s="1"/>
  <c r="BF106" i="2"/>
  <c r="BF107" i="2" s="1"/>
  <c r="BE106" i="2"/>
  <c r="BE107" i="2" s="1"/>
  <c r="BD106" i="2"/>
  <c r="BD107" i="2" s="1"/>
  <c r="BC106" i="2"/>
  <c r="BB106" i="2"/>
  <c r="BB107" i="2" s="1"/>
  <c r="BA106" i="2"/>
  <c r="BA107" i="2" s="1"/>
  <c r="AZ106" i="2"/>
  <c r="AZ107" i="2" s="1"/>
  <c r="AY106" i="2"/>
  <c r="AY107" i="2" s="1"/>
  <c r="AX106" i="2"/>
  <c r="AW106" i="2"/>
  <c r="AW107" i="2" s="1"/>
  <c r="AH106" i="2"/>
  <c r="AH107" i="2" s="1"/>
  <c r="AD106" i="2"/>
  <c r="AD107" i="2" s="1"/>
  <c r="Z106" i="2"/>
  <c r="Z107" i="2" s="1"/>
  <c r="V106" i="2"/>
  <c r="V107" i="2" s="1"/>
  <c r="S106" i="2"/>
  <c r="R106" i="2"/>
  <c r="R107" i="2" s="1"/>
  <c r="N106" i="2"/>
  <c r="N107" i="2" s="1"/>
  <c r="J106" i="2"/>
  <c r="J107" i="2" s="1"/>
  <c r="F106" i="2"/>
  <c r="F107" i="2" s="1"/>
  <c r="E106" i="2"/>
  <c r="E107" i="2" s="1"/>
  <c r="D106" i="2"/>
  <c r="D107" i="2" s="1"/>
  <c r="C106" i="2"/>
  <c r="C107" i="2" s="1"/>
  <c r="B106" i="2"/>
  <c r="B107" i="2" s="1"/>
  <c r="AI105" i="2"/>
  <c r="AI133" i="2" s="1"/>
  <c r="AI134" i="2" s="1"/>
  <c r="AE105" i="2"/>
  <c r="AE133" i="2" s="1"/>
  <c r="AE138" i="2" s="1"/>
  <c r="AA105" i="2"/>
  <c r="AA106" i="2" s="1"/>
  <c r="W105" i="2"/>
  <c r="S105" i="2"/>
  <c r="S133" i="2" s="1"/>
  <c r="O105" i="2"/>
  <c r="P105" i="2" s="1"/>
  <c r="Q105" i="2" s="1"/>
  <c r="K105" i="2"/>
  <c r="G105" i="2"/>
  <c r="AI102" i="2"/>
  <c r="AJ102" i="2" s="1"/>
  <c r="AK102" i="2" s="1"/>
  <c r="AE102" i="2"/>
  <c r="AF102" i="2" s="1"/>
  <c r="AG102" i="2" s="1"/>
  <c r="AA102" i="2"/>
  <c r="W102" i="2"/>
  <c r="X102" i="2" s="1"/>
  <c r="Y102" i="2" s="1"/>
  <c r="S102" i="2"/>
  <c r="T102" i="2" s="1"/>
  <c r="U102" i="2" s="1"/>
  <c r="P102" i="2"/>
  <c r="Q102" i="2" s="1"/>
  <c r="O102" i="2"/>
  <c r="K102" i="2"/>
  <c r="L102" i="2" s="1"/>
  <c r="M102" i="2" s="1"/>
  <c r="H102" i="2"/>
  <c r="I102" i="2" s="1"/>
  <c r="G102" i="2"/>
  <c r="CD100" i="2"/>
  <c r="CC100" i="2"/>
  <c r="CB100" i="2"/>
  <c r="CA100" i="2"/>
  <c r="BP100" i="2"/>
  <c r="BO100" i="2"/>
  <c r="BN100" i="2"/>
  <c r="BM100" i="2"/>
  <c r="BL100" i="2"/>
  <c r="BK100" i="2"/>
  <c r="BJ100" i="2"/>
  <c r="BI100" i="2"/>
  <c r="BH100" i="2"/>
  <c r="BG100" i="2"/>
  <c r="BF100" i="2"/>
  <c r="BE100" i="2"/>
  <c r="BD100" i="2"/>
  <c r="BC100" i="2"/>
  <c r="BB100" i="2"/>
  <c r="BA100" i="2"/>
  <c r="AZ100" i="2"/>
  <c r="AY100" i="2"/>
  <c r="AX100" i="2"/>
  <c r="AW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BP99" i="2"/>
  <c r="C40" i="13" s="1"/>
  <c r="BO99" i="2"/>
  <c r="BN99" i="2"/>
  <c r="BM99" i="2"/>
  <c r="BL99" i="2"/>
  <c r="BK99" i="2"/>
  <c r="BJ99" i="2"/>
  <c r="BI99" i="2"/>
  <c r="BH99" i="2"/>
  <c r="BG99" i="2"/>
  <c r="BF99" i="2"/>
  <c r="BE99" i="2"/>
  <c r="BD99" i="2"/>
  <c r="BC99" i="2"/>
  <c r="BB99" i="2"/>
  <c r="BA99" i="2"/>
  <c r="AZ99" i="2"/>
  <c r="AY99" i="2"/>
  <c r="AX99" i="2"/>
  <c r="AW99" i="2"/>
  <c r="H99" i="2"/>
  <c r="G99" i="2"/>
  <c r="F99" i="2"/>
  <c r="E99" i="2"/>
  <c r="D99" i="2"/>
  <c r="C99" i="2"/>
  <c r="B99" i="2"/>
  <c r="BP98" i="2"/>
  <c r="C38" i="13" s="1"/>
  <c r="BO98" i="2"/>
  <c r="BN98" i="2"/>
  <c r="BM98" i="2"/>
  <c r="BL98" i="2"/>
  <c r="BK98" i="2"/>
  <c r="BJ98" i="2"/>
  <c r="BI98" i="2"/>
  <c r="BH98" i="2"/>
  <c r="BG98" i="2"/>
  <c r="BF98" i="2"/>
  <c r="BE98" i="2"/>
  <c r="BD98" i="2"/>
  <c r="BC98" i="2"/>
  <c r="BB98" i="2"/>
  <c r="BA98" i="2"/>
  <c r="AZ98" i="2"/>
  <c r="AY98" i="2"/>
  <c r="AX98" i="2"/>
  <c r="AW98" i="2"/>
  <c r="AJ98" i="2"/>
  <c r="AH98" i="2"/>
  <c r="AD98" i="2"/>
  <c r="Z98" i="2"/>
  <c r="Y98" i="2"/>
  <c r="V98" i="2"/>
  <c r="U98" i="2"/>
  <c r="T98" i="2"/>
  <c r="R98" i="2"/>
  <c r="Q98" i="2"/>
  <c r="N98" i="2"/>
  <c r="J98" i="2"/>
  <c r="I98" i="2"/>
  <c r="H98" i="2"/>
  <c r="G98" i="2"/>
  <c r="F98" i="2"/>
  <c r="E98" i="2"/>
  <c r="D98" i="2"/>
  <c r="C98" i="2"/>
  <c r="B98" i="2"/>
  <c r="BP96" i="2"/>
  <c r="BO96" i="2"/>
  <c r="BN96" i="2"/>
  <c r="BM96" i="2"/>
  <c r="BL96" i="2"/>
  <c r="BK96" i="2"/>
  <c r="BJ96" i="2"/>
  <c r="BI96" i="2"/>
  <c r="BH96" i="2"/>
  <c r="BG96" i="2"/>
  <c r="BF96" i="2"/>
  <c r="BE96" i="2"/>
  <c r="BD96" i="2"/>
  <c r="BC96" i="2"/>
  <c r="BB96" i="2"/>
  <c r="BA96" i="2"/>
  <c r="AZ96" i="2"/>
  <c r="AY96" i="2"/>
  <c r="AX96" i="2"/>
  <c r="AW96" i="2"/>
  <c r="B96" i="2"/>
  <c r="BP93" i="2"/>
  <c r="BO93" i="2"/>
  <c r="BN93" i="2"/>
  <c r="BM93" i="2"/>
  <c r="BL93" i="2"/>
  <c r="BK93" i="2"/>
  <c r="BJ93" i="2"/>
  <c r="BI93" i="2"/>
  <c r="BH93" i="2"/>
  <c r="BG93" i="2"/>
  <c r="BF93" i="2"/>
  <c r="BE93" i="2"/>
  <c r="BD93" i="2"/>
  <c r="BC93" i="2"/>
  <c r="BB93" i="2"/>
  <c r="BA93" i="2"/>
  <c r="AZ93" i="2"/>
  <c r="AY93" i="2"/>
  <c r="AX93" i="2"/>
  <c r="AW93" i="2"/>
  <c r="V93" i="2"/>
  <c r="H93" i="2"/>
  <c r="G93" i="2"/>
  <c r="F93" i="2"/>
  <c r="E93" i="2"/>
  <c r="D93" i="2"/>
  <c r="C93" i="2"/>
  <c r="B93" i="2"/>
  <c r="AJ90" i="2"/>
  <c r="AI90" i="2"/>
  <c r="AH90" i="2"/>
  <c r="AG90" i="2"/>
  <c r="AF90" i="2"/>
  <c r="AE90" i="2"/>
  <c r="AD90" i="2"/>
  <c r="AC90" i="2"/>
  <c r="AB90" i="2"/>
  <c r="AA90" i="2"/>
  <c r="Z90" i="2"/>
  <c r="Y90" i="2"/>
  <c r="X90" i="2"/>
  <c r="W90" i="2"/>
  <c r="V90" i="2"/>
  <c r="V91" i="2" s="1"/>
  <c r="U90" i="2"/>
  <c r="T90" i="2"/>
  <c r="S90" i="2"/>
  <c r="R90" i="2"/>
  <c r="Q90" i="2"/>
  <c r="P90" i="2"/>
  <c r="N90" i="2"/>
  <c r="M90" i="2"/>
  <c r="L90" i="2"/>
  <c r="J90" i="2"/>
  <c r="J91" i="2" s="1"/>
  <c r="O88" i="2"/>
  <c r="O90" i="2" s="1"/>
  <c r="K88" i="2"/>
  <c r="K90" i="2" s="1"/>
  <c r="AM87" i="2"/>
  <c r="BP85" i="2"/>
  <c r="BO85" i="2"/>
  <c r="BN85" i="2"/>
  <c r="BM85" i="2"/>
  <c r="BL85" i="2"/>
  <c r="BK85" i="2"/>
  <c r="BJ85" i="2"/>
  <c r="BI85" i="2"/>
  <c r="BI90" i="2" s="1"/>
  <c r="BH85" i="2"/>
  <c r="BG85" i="2"/>
  <c r="BG90" i="2" s="1"/>
  <c r="BF85" i="2"/>
  <c r="BE85" i="2"/>
  <c r="BD85" i="2"/>
  <c r="BC85" i="2"/>
  <c r="BB85" i="2"/>
  <c r="BA85" i="2"/>
  <c r="AZ85" i="2"/>
  <c r="AY85" i="2"/>
  <c r="AX85" i="2"/>
  <c r="AW85" i="2"/>
  <c r="AW90" i="2" s="1"/>
  <c r="H85" i="2"/>
  <c r="G85" i="2"/>
  <c r="G90" i="2" s="1"/>
  <c r="F85" i="2"/>
  <c r="E85" i="2"/>
  <c r="D85" i="2"/>
  <c r="D90" i="2" s="1"/>
  <c r="C85" i="2"/>
  <c r="B85" i="2"/>
  <c r="AC84" i="2"/>
  <c r="AB84" i="2"/>
  <c r="AA84" i="2"/>
  <c r="Z84" i="2"/>
  <c r="Y84" i="2"/>
  <c r="X84" i="2"/>
  <c r="W84" i="2"/>
  <c r="V84" i="2"/>
  <c r="U84" i="2"/>
  <c r="T84" i="2"/>
  <c r="S84" i="2"/>
  <c r="R84" i="2"/>
  <c r="Q84" i="2"/>
  <c r="P84" i="2"/>
  <c r="O84" i="2"/>
  <c r="N84" i="2"/>
  <c r="M84" i="2"/>
  <c r="L84" i="2"/>
  <c r="K84" i="2"/>
  <c r="J84" i="2"/>
  <c r="I84" i="2"/>
  <c r="AD83" i="2"/>
  <c r="BP80" i="2"/>
  <c r="BO80" i="2"/>
  <c r="BN80" i="2"/>
  <c r="BM80" i="2"/>
  <c r="BL80" i="2"/>
  <c r="BK80" i="2"/>
  <c r="BJ80" i="2"/>
  <c r="BI80" i="2"/>
  <c r="BH80" i="2"/>
  <c r="BG80" i="2"/>
  <c r="BF80" i="2"/>
  <c r="BE80" i="2"/>
  <c r="BD80" i="2"/>
  <c r="BC80" i="2"/>
  <c r="BB80" i="2"/>
  <c r="BA80" i="2"/>
  <c r="AZ80" i="2"/>
  <c r="AY80" i="2"/>
  <c r="AX80" i="2"/>
  <c r="AW80" i="2"/>
  <c r="H80" i="2"/>
  <c r="G80" i="2"/>
  <c r="F80" i="2"/>
  <c r="E80" i="2"/>
  <c r="D80" i="2"/>
  <c r="C80" i="2"/>
  <c r="B80" i="2"/>
  <c r="BP79" i="2"/>
  <c r="BO79" i="2"/>
  <c r="BN79" i="2"/>
  <c r="BM79" i="2"/>
  <c r="BL79" i="2"/>
  <c r="BK79" i="2"/>
  <c r="BJ79" i="2"/>
  <c r="BI79" i="2"/>
  <c r="BH79" i="2"/>
  <c r="BG79" i="2"/>
  <c r="BF79" i="2"/>
  <c r="BE79" i="2"/>
  <c r="BD79" i="2"/>
  <c r="BC79" i="2"/>
  <c r="BB79" i="2"/>
  <c r="BA79" i="2"/>
  <c r="AZ79" i="2"/>
  <c r="AY79" i="2"/>
  <c r="AX79" i="2"/>
  <c r="AW79" i="2"/>
  <c r="AH79" i="2"/>
  <c r="H79" i="2"/>
  <c r="G79" i="2"/>
  <c r="F79" i="2"/>
  <c r="E79" i="2"/>
  <c r="D79" i="2"/>
  <c r="C79" i="2"/>
  <c r="B79" i="2"/>
  <c r="AJ78" i="2"/>
  <c r="AI78" i="2"/>
  <c r="AI79" i="2" s="1"/>
  <c r="AH78" i="2"/>
  <c r="AH93" i="2" s="1"/>
  <c r="AG78" i="2"/>
  <c r="AG93" i="2" s="1"/>
  <c r="AF78" i="2"/>
  <c r="AF79" i="2" s="1"/>
  <c r="AE78" i="2"/>
  <c r="AE79" i="2" s="1"/>
  <c r="AD78" i="2"/>
  <c r="AD79" i="2" s="1"/>
  <c r="AC78" i="2"/>
  <c r="AB78" i="2"/>
  <c r="AA78" i="2"/>
  <c r="AA79" i="2" s="1"/>
  <c r="Z78" i="2"/>
  <c r="Z79" i="2" s="1"/>
  <c r="Y78" i="2"/>
  <c r="Y79" i="2" s="1"/>
  <c r="X78" i="2"/>
  <c r="W78" i="2"/>
  <c r="W93" i="2" s="1"/>
  <c r="V78" i="2"/>
  <c r="V79" i="2" s="1"/>
  <c r="U78" i="2"/>
  <c r="U93" i="2" s="1"/>
  <c r="T78" i="2"/>
  <c r="T79" i="2" s="1"/>
  <c r="S78" i="2"/>
  <c r="R78" i="2"/>
  <c r="R79" i="2" s="1"/>
  <c r="Q78" i="2"/>
  <c r="M78" i="2"/>
  <c r="M79" i="2" s="1"/>
  <c r="L78" i="2"/>
  <c r="K78" i="2"/>
  <c r="K79" i="2" s="1"/>
  <c r="I78" i="2"/>
  <c r="I79" i="2" s="1"/>
  <c r="BP77" i="2"/>
  <c r="BO77" i="2"/>
  <c r="BN77" i="2"/>
  <c r="BM77" i="2"/>
  <c r="BL77" i="2"/>
  <c r="BK77" i="2"/>
  <c r="BJ77" i="2"/>
  <c r="BI77" i="2"/>
  <c r="BH77" i="2"/>
  <c r="BG77" i="2"/>
  <c r="BF77" i="2"/>
  <c r="BE77" i="2"/>
  <c r="BD77" i="2"/>
  <c r="BC77" i="2"/>
  <c r="BB77" i="2"/>
  <c r="BA77" i="2"/>
  <c r="AZ77" i="2"/>
  <c r="AY77" i="2"/>
  <c r="AX77" i="2"/>
  <c r="AW77" i="2"/>
  <c r="AJ77" i="2"/>
  <c r="AI77" i="2"/>
  <c r="AH77" i="2"/>
  <c r="AG77" i="2"/>
  <c r="AF77" i="2"/>
  <c r="AE77" i="2"/>
  <c r="AD77" i="2"/>
  <c r="AC77" i="2"/>
  <c r="AB77" i="2"/>
  <c r="AA77" i="2"/>
  <c r="Z77" i="2"/>
  <c r="Y77" i="2"/>
  <c r="X77" i="2"/>
  <c r="W77" i="2"/>
  <c r="V77" i="2"/>
  <c r="U77" i="2"/>
  <c r="T77" i="2"/>
  <c r="S77" i="2"/>
  <c r="R77" i="2"/>
  <c r="Q77" i="2"/>
  <c r="P77" i="2"/>
  <c r="O77" i="2"/>
  <c r="M77" i="2"/>
  <c r="L77" i="2"/>
  <c r="K77" i="2"/>
  <c r="J77" i="2"/>
  <c r="I77" i="2"/>
  <c r="H77" i="2"/>
  <c r="G77" i="2"/>
  <c r="F77" i="2"/>
  <c r="E77" i="2"/>
  <c r="D77" i="2"/>
  <c r="C77" i="2"/>
  <c r="B77" i="2"/>
  <c r="P75" i="2"/>
  <c r="O75" i="2"/>
  <c r="N75" i="2"/>
  <c r="N124" i="2" s="1"/>
  <c r="N125" i="2" s="1"/>
  <c r="J75" i="2"/>
  <c r="J141" i="2" s="1"/>
  <c r="AG73" i="2"/>
  <c r="I73" i="2"/>
  <c r="BP72" i="2"/>
  <c r="BO72" i="2"/>
  <c r="BN72" i="2"/>
  <c r="BM72" i="2"/>
  <c r="BL72" i="2"/>
  <c r="BK72" i="2"/>
  <c r="BJ72" i="2"/>
  <c r="BI72" i="2"/>
  <c r="BH72" i="2"/>
  <c r="BG72" i="2"/>
  <c r="BG73" i="2" s="1"/>
  <c r="BF72" i="2"/>
  <c r="BE72" i="2"/>
  <c r="BD72" i="2"/>
  <c r="BC72" i="2"/>
  <c r="BB72" i="2"/>
  <c r="BA72" i="2"/>
  <c r="AZ72" i="2"/>
  <c r="AY72" i="2"/>
  <c r="AX72" i="2"/>
  <c r="AW72" i="2"/>
  <c r="J72" i="2"/>
  <c r="G72" i="2"/>
  <c r="F72" i="2"/>
  <c r="E72" i="2"/>
  <c r="D72" i="2"/>
  <c r="C72" i="2"/>
  <c r="B72" i="2"/>
  <c r="BS71" i="2"/>
  <c r="BR71" i="2"/>
  <c r="BQ71" i="2"/>
  <c r="AJ71" i="2"/>
  <c r="AJ68" i="2" s="1"/>
  <c r="AI71" i="2"/>
  <c r="AJ66" i="2" s="1"/>
  <c r="AH71" i="2"/>
  <c r="AH68" i="2" s="1"/>
  <c r="AG71" i="2"/>
  <c r="AF71" i="2"/>
  <c r="AE71" i="2"/>
  <c r="AD71" i="2"/>
  <c r="AD68" i="2" s="1"/>
  <c r="AC71" i="2"/>
  <c r="AB71" i="2"/>
  <c r="AA71" i="2"/>
  <c r="Z71" i="2"/>
  <c r="Z68" i="2" s="1"/>
  <c r="Y71" i="2"/>
  <c r="Z66" i="2" s="1"/>
  <c r="X71" i="2"/>
  <c r="Y66" i="2" s="1"/>
  <c r="W71" i="2"/>
  <c r="V71" i="2"/>
  <c r="V68" i="2" s="1"/>
  <c r="U71" i="2"/>
  <c r="V66" i="2" s="1"/>
  <c r="T71" i="2"/>
  <c r="U66" i="2" s="1"/>
  <c r="S71" i="2"/>
  <c r="T66" i="2" s="1"/>
  <c r="R71" i="2"/>
  <c r="R68" i="2" s="1"/>
  <c r="Q71" i="2"/>
  <c r="P71" i="2"/>
  <c r="O71" i="2"/>
  <c r="N71" i="2"/>
  <c r="N68" i="2" s="1"/>
  <c r="M71" i="2"/>
  <c r="N66" i="2" s="1"/>
  <c r="L71" i="2"/>
  <c r="K71" i="2"/>
  <c r="J71" i="2"/>
  <c r="J68" i="2" s="1"/>
  <c r="I71" i="2"/>
  <c r="J66" i="2" s="1"/>
  <c r="H70" i="2"/>
  <c r="I66" i="2" s="1"/>
  <c r="BP68" i="2"/>
  <c r="BO68" i="2"/>
  <c r="BN68" i="2"/>
  <c r="BM68" i="2"/>
  <c r="BL68" i="2"/>
  <c r="BK68" i="2"/>
  <c r="BJ68" i="2"/>
  <c r="BI68" i="2"/>
  <c r="BH68" i="2"/>
  <c r="BG68" i="2"/>
  <c r="BF68" i="2"/>
  <c r="BE68" i="2"/>
  <c r="BD68" i="2"/>
  <c r="BC68" i="2"/>
  <c r="BB68" i="2"/>
  <c r="BA68" i="2"/>
  <c r="AZ68" i="2"/>
  <c r="AY68" i="2"/>
  <c r="AX68" i="2"/>
  <c r="AW68" i="2"/>
  <c r="U68" i="2"/>
  <c r="T68" i="2"/>
  <c r="G68" i="2"/>
  <c r="F68" i="2"/>
  <c r="E68" i="2"/>
  <c r="D68" i="2"/>
  <c r="C68" i="2"/>
  <c r="B68" i="2"/>
  <c r="BP66" i="2"/>
  <c r="BO66" i="2"/>
  <c r="BN66" i="2"/>
  <c r="BM66" i="2"/>
  <c r="BL66" i="2"/>
  <c r="BK66" i="2"/>
  <c r="BJ66" i="2"/>
  <c r="BI66" i="2"/>
  <c r="BH66" i="2"/>
  <c r="BG66" i="2"/>
  <c r="BF66" i="2"/>
  <c r="BE66" i="2"/>
  <c r="BD66" i="2"/>
  <c r="BC66" i="2"/>
  <c r="BB66" i="2"/>
  <c r="BA66" i="2"/>
  <c r="AZ66" i="2"/>
  <c r="AY66" i="2"/>
  <c r="AX66" i="2"/>
  <c r="AW66" i="2"/>
  <c r="AH66" i="2"/>
  <c r="H66" i="2"/>
  <c r="G66" i="2"/>
  <c r="F66" i="2"/>
  <c r="E66" i="2"/>
  <c r="D66" i="2"/>
  <c r="C66" i="2"/>
  <c r="AL137" i="2"/>
  <c r="AI65" i="2"/>
  <c r="AE65" i="2"/>
  <c r="AA65" i="2"/>
  <c r="AA66" i="2" s="1"/>
  <c r="W65" i="2"/>
  <c r="X65" i="2" s="1"/>
  <c r="S65" i="2"/>
  <c r="O65" i="2"/>
  <c r="L65" i="2"/>
  <c r="K65" i="2"/>
  <c r="BP63" i="2"/>
  <c r="BO63" i="2"/>
  <c r="BN63" i="2"/>
  <c r="BM63" i="2"/>
  <c r="BL63" i="2"/>
  <c r="BK63" i="2"/>
  <c r="BJ63" i="2"/>
  <c r="BI63" i="2"/>
  <c r="BH63" i="2"/>
  <c r="BG63" i="2"/>
  <c r="BF63" i="2"/>
  <c r="BE63" i="2"/>
  <c r="BD63" i="2"/>
  <c r="BC63" i="2"/>
  <c r="BB63" i="2"/>
  <c r="BA63" i="2"/>
  <c r="AZ63" i="2"/>
  <c r="AY63" i="2"/>
  <c r="AX63" i="2"/>
  <c r="AW63" i="2"/>
  <c r="AJ63" i="2"/>
  <c r="AJ73" i="2" s="1"/>
  <c r="AI63" i="2"/>
  <c r="AI73" i="2" s="1"/>
  <c r="AH63" i="2"/>
  <c r="AH73" i="2" s="1"/>
  <c r="AG63" i="2"/>
  <c r="AF63" i="2"/>
  <c r="AF73" i="2" s="1"/>
  <c r="AE63" i="2"/>
  <c r="AE73" i="2" s="1"/>
  <c r="AD63" i="2"/>
  <c r="AD73" i="2" s="1"/>
  <c r="AC63" i="2"/>
  <c r="AC73" i="2" s="1"/>
  <c r="AB63" i="2"/>
  <c r="AB73" i="2" s="1"/>
  <c r="AA63" i="2"/>
  <c r="AA73" i="2" s="1"/>
  <c r="Z63" i="2"/>
  <c r="Z73" i="2" s="1"/>
  <c r="Y63" i="2"/>
  <c r="Y73" i="2" s="1"/>
  <c r="X63" i="2"/>
  <c r="X73" i="2" s="1"/>
  <c r="W63" i="2"/>
  <c r="W73" i="2" s="1"/>
  <c r="V63" i="2"/>
  <c r="V73" i="2" s="1"/>
  <c r="U63" i="2"/>
  <c r="U73" i="2" s="1"/>
  <c r="T63" i="2"/>
  <c r="T73" i="2" s="1"/>
  <c r="S63" i="2"/>
  <c r="S73" i="2" s="1"/>
  <c r="R63" i="2"/>
  <c r="R73" i="2" s="1"/>
  <c r="Q63" i="2"/>
  <c r="Q73" i="2" s="1"/>
  <c r="P63" i="2"/>
  <c r="P73" i="2" s="1"/>
  <c r="O63" i="2"/>
  <c r="O73" i="2" s="1"/>
  <c r="N63" i="2"/>
  <c r="N73" i="2" s="1"/>
  <c r="M63" i="2"/>
  <c r="M73" i="2" s="1"/>
  <c r="L63" i="2"/>
  <c r="L73" i="2" s="1"/>
  <c r="K63" i="2"/>
  <c r="K73" i="2" s="1"/>
  <c r="J63" i="2"/>
  <c r="I63" i="2"/>
  <c r="H63" i="2"/>
  <c r="G63" i="2"/>
  <c r="F63" i="2"/>
  <c r="E63" i="2"/>
  <c r="D63" i="2"/>
  <c r="C63" i="2"/>
  <c r="B63" i="2"/>
  <c r="BP62" i="2"/>
  <c r="BO62" i="2"/>
  <c r="BN62" i="2"/>
  <c r="BM62" i="2"/>
  <c r="BL62" i="2"/>
  <c r="BK62" i="2"/>
  <c r="BJ62" i="2"/>
  <c r="BI62" i="2"/>
  <c r="BH62" i="2"/>
  <c r="BG62" i="2"/>
  <c r="BF62" i="2"/>
  <c r="BE62" i="2"/>
  <c r="BD62" i="2"/>
  <c r="BC62" i="2"/>
  <c r="BB62" i="2"/>
  <c r="BA62" i="2"/>
  <c r="AZ62" i="2"/>
  <c r="AY62" i="2"/>
  <c r="AX62" i="2"/>
  <c r="AW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BP60" i="2"/>
  <c r="BO60" i="2"/>
  <c r="BN60" i="2"/>
  <c r="BM60" i="2"/>
  <c r="BL60" i="2"/>
  <c r="BK60" i="2"/>
  <c r="BJ60" i="2"/>
  <c r="BI60" i="2"/>
  <c r="BH60" i="2"/>
  <c r="BG60" i="2"/>
  <c r="BF60" i="2"/>
  <c r="BE60" i="2"/>
  <c r="BD60" i="2"/>
  <c r="BC60" i="2"/>
  <c r="BB60" i="2"/>
  <c r="BA60" i="2"/>
  <c r="AZ60" i="2"/>
  <c r="AY60" i="2"/>
  <c r="AX60" i="2"/>
  <c r="AW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BP58" i="2"/>
  <c r="BO58" i="2"/>
  <c r="BN58" i="2"/>
  <c r="BM58" i="2"/>
  <c r="BL58" i="2"/>
  <c r="BK58" i="2"/>
  <c r="BJ58" i="2"/>
  <c r="BI58" i="2"/>
  <c r="BH58" i="2"/>
  <c r="BG58" i="2"/>
  <c r="BF58" i="2"/>
  <c r="BE58" i="2"/>
  <c r="BD58" i="2"/>
  <c r="BC58" i="2"/>
  <c r="BB58" i="2"/>
  <c r="BA58" i="2"/>
  <c r="AZ58" i="2"/>
  <c r="AY58" i="2"/>
  <c r="AX58" i="2"/>
  <c r="AW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BP55" i="2"/>
  <c r="BO55" i="2"/>
  <c r="BN55" i="2"/>
  <c r="BM55" i="2"/>
  <c r="BL55" i="2"/>
  <c r="BK55" i="2"/>
  <c r="BJ55" i="2"/>
  <c r="BI55" i="2"/>
  <c r="BH55" i="2"/>
  <c r="BG55" i="2"/>
  <c r="BF55" i="2"/>
  <c r="BE55" i="2"/>
  <c r="BD55" i="2"/>
  <c r="BC55" i="2"/>
  <c r="BB55" i="2"/>
  <c r="BA55" i="2"/>
  <c r="AZ55" i="2"/>
  <c r="AY55" i="2"/>
  <c r="AX55" i="2"/>
  <c r="AW55" i="2"/>
  <c r="B55" i="2"/>
  <c r="BK46" i="2"/>
  <c r="BK52" i="2" s="1"/>
  <c r="BC46" i="2"/>
  <c r="BC50" i="2" s="1"/>
  <c r="BB46" i="2"/>
  <c r="BA46" i="2"/>
  <c r="BA50" i="2" s="1"/>
  <c r="AZ46" i="2"/>
  <c r="AZ52" i="2" s="1"/>
  <c r="AY46" i="2"/>
  <c r="AX46" i="2"/>
  <c r="AX52" i="2" s="1"/>
  <c r="AW46" i="2"/>
  <c r="BY45" i="2"/>
  <c r="CA45" i="2" s="1"/>
  <c r="CB45" i="2" s="1"/>
  <c r="CC45" i="2" s="1"/>
  <c r="CD45" i="2" s="1"/>
  <c r="BO45" i="2"/>
  <c r="BO46" i="2" s="1"/>
  <c r="BO50" i="2" s="1"/>
  <c r="BN45" i="2"/>
  <c r="BN46" i="2" s="1"/>
  <c r="BM45" i="2"/>
  <c r="BM46" i="2" s="1"/>
  <c r="BM50" i="2" s="1"/>
  <c r="BL45" i="2"/>
  <c r="BL46" i="2" s="1"/>
  <c r="BK45" i="2"/>
  <c r="BJ45" i="2"/>
  <c r="BJ46" i="2" s="1"/>
  <c r="BJ47" i="2" s="1"/>
  <c r="BI45" i="2"/>
  <c r="BI46" i="2" s="1"/>
  <c r="BH45" i="2"/>
  <c r="BH46" i="2" s="1"/>
  <c r="BG45" i="2"/>
  <c r="BG46" i="2" s="1"/>
  <c r="BF45" i="2"/>
  <c r="BF46" i="2" s="1"/>
  <c r="BF52" i="2" s="1"/>
  <c r="BE45" i="2"/>
  <c r="BE46" i="2" s="1"/>
  <c r="BE50" i="2" s="1"/>
  <c r="BD45" i="2"/>
  <c r="BD46" i="2" s="1"/>
  <c r="BD52" i="2" s="1"/>
  <c r="BP44" i="2"/>
  <c r="BO44" i="2"/>
  <c r="BN44" i="2"/>
  <c r="BM44" i="2"/>
  <c r="BL44" i="2"/>
  <c r="BK44" i="2"/>
  <c r="BJ44" i="2"/>
  <c r="BI44" i="2"/>
  <c r="BH44" i="2"/>
  <c r="BG44" i="2"/>
  <c r="BF44" i="2"/>
  <c r="BE44" i="2"/>
  <c r="BD44" i="2"/>
  <c r="BC44" i="2"/>
  <c r="BB44" i="2"/>
  <c r="BA44" i="2"/>
  <c r="AZ44" i="2"/>
  <c r="AY44" i="2"/>
  <c r="AX44" i="2"/>
  <c r="AW44" i="2"/>
  <c r="B44" i="2"/>
  <c r="BO42" i="2"/>
  <c r="BN42" i="2"/>
  <c r="BM42" i="2"/>
  <c r="BL42" i="2"/>
  <c r="BK42" i="2"/>
  <c r="BJ42" i="2"/>
  <c r="BI42" i="2"/>
  <c r="BH42" i="2"/>
  <c r="BG42" i="2"/>
  <c r="BF42" i="2"/>
  <c r="BE42" i="2"/>
  <c r="BD42" i="2"/>
  <c r="BC42" i="2"/>
  <c r="BB42" i="2"/>
  <c r="BA42" i="2"/>
  <c r="AZ42" i="2"/>
  <c r="AY42" i="2"/>
  <c r="AX42" i="2"/>
  <c r="AW42" i="2"/>
  <c r="AJ42" i="2"/>
  <c r="AI42" i="2"/>
  <c r="AH42" i="2"/>
  <c r="AG42" i="2"/>
  <c r="AF42" i="2"/>
  <c r="AE42" i="2"/>
  <c r="AD42" i="2"/>
  <c r="AC42" i="2"/>
  <c r="AB42" i="2"/>
  <c r="AA42" i="2"/>
  <c r="Z42" i="2"/>
  <c r="Y42" i="2"/>
  <c r="X42" i="2"/>
  <c r="W42" i="2"/>
  <c r="V42" i="2"/>
  <c r="U42" i="2"/>
  <c r="T42" i="2"/>
  <c r="S42" i="2"/>
  <c r="R42" i="2"/>
  <c r="Q42" i="2"/>
  <c r="P42" i="2"/>
  <c r="N42" i="2"/>
  <c r="M42" i="2"/>
  <c r="L42" i="2"/>
  <c r="J42" i="2"/>
  <c r="I42" i="2"/>
  <c r="H42" i="2"/>
  <c r="G42" i="2"/>
  <c r="F42" i="2"/>
  <c r="E42" i="2"/>
  <c r="D42" i="2"/>
  <c r="C42" i="2"/>
  <c r="B42" i="2"/>
  <c r="BP33" i="2"/>
  <c r="BO33" i="2"/>
  <c r="BN33" i="2"/>
  <c r="BM33" i="2"/>
  <c r="BL33" i="2"/>
  <c r="BK33" i="2"/>
  <c r="BJ33" i="2"/>
  <c r="BI33" i="2"/>
  <c r="BH33" i="2"/>
  <c r="BG33" i="2"/>
  <c r="BF33" i="2"/>
  <c r="BE33" i="2"/>
  <c r="BD33" i="2"/>
  <c r="BC33" i="2"/>
  <c r="BB33" i="2"/>
  <c r="BA33" i="2"/>
  <c r="AZ33" i="2"/>
  <c r="AY33" i="2"/>
  <c r="AX33" i="2"/>
  <c r="AW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O32" i="2"/>
  <c r="BN32" i="2"/>
  <c r="BM32" i="2"/>
  <c r="BL32" i="2"/>
  <c r="BK32" i="2"/>
  <c r="BJ32" i="2"/>
  <c r="BI32" i="2"/>
  <c r="BH32" i="2"/>
  <c r="BG32" i="2"/>
  <c r="BF32" i="2"/>
  <c r="BE32" i="2"/>
  <c r="BD32" i="2"/>
  <c r="BC32" i="2"/>
  <c r="BB32" i="2"/>
  <c r="BA32" i="2"/>
  <c r="AZ32" i="2"/>
  <c r="AY32" i="2"/>
  <c r="AX32" i="2"/>
  <c r="AW32" i="2"/>
  <c r="AH32" i="2"/>
  <c r="AD32" i="2"/>
  <c r="AB32" i="2"/>
  <c r="X32" i="2"/>
  <c r="V32" i="2"/>
  <c r="U32" i="2"/>
  <c r="T32" i="2"/>
  <c r="S32" i="2"/>
  <c r="R32" i="2"/>
  <c r="Q32" i="2"/>
  <c r="P32" i="2"/>
  <c r="O32" i="2"/>
  <c r="N32" i="2"/>
  <c r="M32" i="2"/>
  <c r="L32" i="2"/>
  <c r="K32" i="2"/>
  <c r="J32" i="2"/>
  <c r="I32" i="2"/>
  <c r="H32" i="2"/>
  <c r="G32" i="2"/>
  <c r="F32" i="2"/>
  <c r="E32" i="2"/>
  <c r="D32" i="2"/>
  <c r="C32" i="2"/>
  <c r="B32" i="2"/>
  <c r="D14" i="2"/>
  <c r="BP13" i="2"/>
  <c r="BO13" i="2"/>
  <c r="BN13" i="2"/>
  <c r="BM13" i="2"/>
  <c r="BL13" i="2"/>
  <c r="BK13" i="2"/>
  <c r="BJ13" i="2"/>
  <c r="BI13" i="2"/>
  <c r="BH13" i="2"/>
  <c r="BG13" i="2"/>
  <c r="BF13" i="2"/>
  <c r="BE13" i="2"/>
  <c r="BD13" i="2"/>
  <c r="BC13" i="2"/>
  <c r="BB13" i="2"/>
  <c r="BA13" i="2"/>
  <c r="AZ13" i="2"/>
  <c r="AY13" i="2"/>
  <c r="AX13" i="2"/>
  <c r="AW13" i="2"/>
  <c r="F13" i="2"/>
  <c r="E13" i="2"/>
  <c r="D13" i="2"/>
  <c r="C13" i="2"/>
  <c r="B13" i="2"/>
  <c r="BP9" i="2"/>
  <c r="BO9" i="2"/>
  <c r="BN9" i="2"/>
  <c r="BM9" i="2"/>
  <c r="BL9" i="2"/>
  <c r="BK9" i="2"/>
  <c r="BJ9" i="2"/>
  <c r="BI9" i="2"/>
  <c r="BH9" i="2"/>
  <c r="BG9" i="2"/>
  <c r="BF9" i="2"/>
  <c r="BE9" i="2"/>
  <c r="BD9" i="2"/>
  <c r="BC9" i="2"/>
  <c r="BB9" i="2"/>
  <c r="BA9" i="2"/>
  <c r="AZ9" i="2"/>
  <c r="AY9" i="2"/>
  <c r="AX9" i="2"/>
  <c r="AW9" i="2"/>
  <c r="F9" i="2"/>
  <c r="E9" i="2"/>
  <c r="D9" i="2"/>
  <c r="C9" i="2"/>
  <c r="AK8" i="2"/>
  <c r="AK71" i="1" s="1"/>
  <c r="AK72" i="1" s="1"/>
  <c r="AJ8" i="2"/>
  <c r="AJ13" i="2" s="1"/>
  <c r="AI8" i="2"/>
  <c r="AI71" i="1" s="1"/>
  <c r="AH8" i="2"/>
  <c r="AH13" i="2" s="1"/>
  <c r="AH71" i="1"/>
  <c r="AG8" i="2"/>
  <c r="AG71" i="1" s="1"/>
  <c r="AF8" i="2"/>
  <c r="AF71" i="1" s="1"/>
  <c r="AE8" i="2"/>
  <c r="AD8" i="2"/>
  <c r="AC8" i="2"/>
  <c r="AC71" i="1" s="1"/>
  <c r="AB8" i="2"/>
  <c r="AA8" i="2"/>
  <c r="AA13" i="2" s="1"/>
  <c r="Z8" i="2"/>
  <c r="Y8" i="2"/>
  <c r="Y13" i="2" s="1"/>
  <c r="X8" i="2"/>
  <c r="W8" i="2"/>
  <c r="V8" i="2"/>
  <c r="V13" i="2" s="1"/>
  <c r="U8" i="2"/>
  <c r="T8" i="2"/>
  <c r="T71" i="1" s="1"/>
  <c r="S8" i="2"/>
  <c r="S71" i="1" s="1"/>
  <c r="R8" i="2"/>
  <c r="R71" i="1" s="1"/>
  <c r="Q8" i="2"/>
  <c r="P8" i="2"/>
  <c r="P71" i="1" s="1"/>
  <c r="O8" i="2"/>
  <c r="N8" i="2"/>
  <c r="N71" i="1" s="1"/>
  <c r="M8" i="2"/>
  <c r="M13" i="2" s="1"/>
  <c r="L8" i="2"/>
  <c r="K8" i="2"/>
  <c r="K13" i="2" s="1"/>
  <c r="J8" i="2"/>
  <c r="J71" i="1" s="1"/>
  <c r="J72" i="1" s="1"/>
  <c r="I8" i="2"/>
  <c r="I71" i="1" s="1"/>
  <c r="H8" i="2"/>
  <c r="G8" i="2"/>
  <c r="AZ7" i="2"/>
  <c r="AK7" i="2"/>
  <c r="BP6" i="2"/>
  <c r="BO6" i="2"/>
  <c r="BO14" i="2" s="1"/>
  <c r="BO16" i="2" s="1"/>
  <c r="BO17" i="2" s="1"/>
  <c r="BN6" i="2"/>
  <c r="BM6" i="2"/>
  <c r="BL6" i="2"/>
  <c r="BL14" i="2" s="1"/>
  <c r="BL15" i="2" s="1"/>
  <c r="BK6" i="2"/>
  <c r="BK7" i="2" s="1"/>
  <c r="BJ6" i="2"/>
  <c r="BI6" i="2"/>
  <c r="BI7" i="2" s="1"/>
  <c r="BH6" i="2"/>
  <c r="BH7" i="2" s="1"/>
  <c r="BG6" i="2"/>
  <c r="BF6" i="2"/>
  <c r="BF14" i="2" s="1"/>
  <c r="BE6" i="2"/>
  <c r="BE14" i="2" s="1"/>
  <c r="BE16" i="2" s="1"/>
  <c r="BE17" i="2" s="1"/>
  <c r="BD6" i="2"/>
  <c r="BD7" i="2" s="1"/>
  <c r="BC6" i="2"/>
  <c r="BC14" i="2" s="1"/>
  <c r="BC15" i="2" s="1"/>
  <c r="BB6" i="2"/>
  <c r="BA6" i="2"/>
  <c r="AZ6" i="2"/>
  <c r="AZ14" i="2" s="1"/>
  <c r="AY6" i="2"/>
  <c r="AY14" i="2" s="1"/>
  <c r="AY23" i="2" s="1"/>
  <c r="AX6" i="2"/>
  <c r="AW6" i="2"/>
  <c r="AW14" i="2" s="1"/>
  <c r="AJ6" i="2"/>
  <c r="AJ7" i="2" s="1"/>
  <c r="AI6" i="2"/>
  <c r="AI7" i="2" s="1"/>
  <c r="AH6" i="2"/>
  <c r="AH7" i="2" s="1"/>
  <c r="AG6" i="2"/>
  <c r="AG7" i="2" s="1"/>
  <c r="AF6" i="2"/>
  <c r="AF7" i="2" s="1"/>
  <c r="AE6" i="2"/>
  <c r="AE7" i="2" s="1"/>
  <c r="AD6" i="2"/>
  <c r="AD7" i="2" s="1"/>
  <c r="AC6" i="2"/>
  <c r="AB6" i="2"/>
  <c r="AB7" i="2" s="1"/>
  <c r="AA6" i="2"/>
  <c r="AA7" i="2" s="1"/>
  <c r="Z6" i="2"/>
  <c r="Z7" i="2" s="1"/>
  <c r="Y6" i="2"/>
  <c r="Y7" i="2" s="1"/>
  <c r="X6" i="2"/>
  <c r="X7" i="2" s="1"/>
  <c r="W6" i="2"/>
  <c r="W7" i="2" s="1"/>
  <c r="V6" i="2"/>
  <c r="V7" i="2" s="1"/>
  <c r="U6" i="2"/>
  <c r="U7" i="2" s="1"/>
  <c r="T6" i="2"/>
  <c r="T7" i="2" s="1"/>
  <c r="S6" i="2"/>
  <c r="S7" i="2" s="1"/>
  <c r="R6" i="2"/>
  <c r="Q6" i="2"/>
  <c r="Q7" i="2" s="1"/>
  <c r="P6" i="2"/>
  <c r="P7" i="2" s="1"/>
  <c r="O6" i="2"/>
  <c r="O7" i="2" s="1"/>
  <c r="M6" i="2"/>
  <c r="M7" i="2" s="1"/>
  <c r="L6" i="2"/>
  <c r="L7" i="2" s="1"/>
  <c r="K6" i="2"/>
  <c r="K7" i="2" s="1"/>
  <c r="J6" i="2"/>
  <c r="J14" i="2" s="1"/>
  <c r="I6" i="2"/>
  <c r="I7" i="2" s="1"/>
  <c r="H6" i="2"/>
  <c r="H7" i="2" s="1"/>
  <c r="G6" i="2"/>
  <c r="G7" i="2" s="1"/>
  <c r="F6" i="2"/>
  <c r="E6" i="2"/>
  <c r="D6" i="2"/>
  <c r="D7" i="2" s="1"/>
  <c r="C6" i="2"/>
  <c r="B6" i="2"/>
  <c r="AK5" i="2"/>
  <c r="AK79" i="2" s="1"/>
  <c r="AK77" i="2"/>
  <c r="N5" i="2"/>
  <c r="N6" i="2" s="1"/>
  <c r="BP4" i="2"/>
  <c r="BO4" i="2"/>
  <c r="BN4" i="2"/>
  <c r="BM4" i="2"/>
  <c r="BL4" i="2"/>
  <c r="BK4" i="2"/>
  <c r="BJ4" i="2"/>
  <c r="BI4" i="2"/>
  <c r="BH4" i="2"/>
  <c r="BG4" i="2"/>
  <c r="BF4" i="2"/>
  <c r="BE4" i="2"/>
  <c r="BD4" i="2"/>
  <c r="BC4" i="2"/>
  <c r="BB4" i="2"/>
  <c r="BA4" i="2"/>
  <c r="AZ4" i="2"/>
  <c r="AY4" i="2"/>
  <c r="AX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Q2" i="2"/>
  <c r="C2" i="2"/>
  <c r="D2" i="2" s="1"/>
  <c r="AX1" i="2"/>
  <c r="AY1" i="2" s="1"/>
  <c r="AZ1" i="2" s="1"/>
  <c r="BA1" i="2" s="1"/>
  <c r="BB1" i="2" s="1"/>
  <c r="BC1" i="2" s="1"/>
  <c r="BD1" i="2" s="1"/>
  <c r="BE1" i="2" s="1"/>
  <c r="BF1" i="2" s="1"/>
  <c r="BG1" i="2" s="1"/>
  <c r="BH1" i="2" s="1"/>
  <c r="BI1" i="2" s="1"/>
  <c r="BJ1" i="2" s="1"/>
  <c r="BK1" i="2" s="1"/>
  <c r="BL1" i="2" s="1"/>
  <c r="BM1" i="2" s="1"/>
  <c r="BN1" i="2" s="1"/>
  <c r="BO1" i="2" s="1"/>
  <c r="BP1" i="2" s="1"/>
  <c r="BQ1" i="2" s="1"/>
  <c r="B1" i="2"/>
  <c r="Q47" i="13"/>
  <c r="P47" i="13"/>
  <c r="O47" i="13"/>
  <c r="N47" i="13"/>
  <c r="M47" i="13"/>
  <c r="L47" i="13"/>
  <c r="K47" i="13"/>
  <c r="J47" i="13"/>
  <c r="I47" i="13"/>
  <c r="H47" i="13"/>
  <c r="G47" i="13"/>
  <c r="F47" i="13"/>
  <c r="E47" i="13"/>
  <c r="D47" i="13"/>
  <c r="C47" i="13"/>
  <c r="C39" i="13"/>
  <c r="Q34" i="13"/>
  <c r="P34" i="13"/>
  <c r="O34" i="13"/>
  <c r="N34" i="13"/>
  <c r="M34" i="13"/>
  <c r="L34" i="13"/>
  <c r="K34" i="13"/>
  <c r="J34" i="13"/>
  <c r="I34" i="13"/>
  <c r="H34" i="13"/>
  <c r="G34" i="13"/>
  <c r="F34" i="13"/>
  <c r="E34" i="13"/>
  <c r="D34" i="13"/>
  <c r="C34" i="13"/>
  <c r="F32" i="13"/>
  <c r="Q21" i="13" a="1"/>
  <c r="Q21" i="13" s="1"/>
  <c r="P21" i="13" a="1"/>
  <c r="P21" i="13" s="1"/>
  <c r="O21" i="13" a="1"/>
  <c r="O21" i="13" s="1"/>
  <c r="N21" i="13" a="1"/>
  <c r="N21" i="13" s="1"/>
  <c r="M21" i="13" a="1"/>
  <c r="M21" i="13" s="1"/>
  <c r="L21" i="13" a="1"/>
  <c r="L21" i="13" s="1"/>
  <c r="K21" i="13" a="1"/>
  <c r="K21" i="13" s="1"/>
  <c r="J21" i="13" a="1"/>
  <c r="J21" i="13" s="1"/>
  <c r="I21" i="13" a="1"/>
  <c r="I21" i="13" s="1"/>
  <c r="H21" i="13" a="1"/>
  <c r="H21" i="13" s="1"/>
  <c r="G21" i="13" a="1"/>
  <c r="G21" i="13" s="1"/>
  <c r="F21" i="13" a="1"/>
  <c r="F21" i="13" s="1"/>
  <c r="E21" i="13" a="1"/>
  <c r="E21" i="13" s="1"/>
  <c r="D21" i="13" a="1"/>
  <c r="D21" i="13" s="1"/>
  <c r="C21" i="13" a="1"/>
  <c r="C21" i="13" s="1"/>
  <c r="Q20" i="13"/>
  <c r="P20" i="13"/>
  <c r="O20" i="13"/>
  <c r="N20" i="13"/>
  <c r="M20" i="13"/>
  <c r="L20" i="13"/>
  <c r="K20" i="13"/>
  <c r="J20" i="13"/>
  <c r="I20" i="13"/>
  <c r="H20" i="13"/>
  <c r="G20" i="13"/>
  <c r="F20" i="13"/>
  <c r="E20" i="13"/>
  <c r="D20" i="13"/>
  <c r="C20" i="13"/>
  <c r="C12" i="13"/>
  <c r="C10" i="13"/>
  <c r="C43" i="13" s="1"/>
  <c r="C8" i="13"/>
  <c r="C3" i="13"/>
  <c r="Q2" i="13"/>
  <c r="P2" i="13"/>
  <c r="O2" i="13"/>
  <c r="N2" i="13"/>
  <c r="M2" i="13"/>
  <c r="L2" i="13"/>
  <c r="K2" i="13"/>
  <c r="J2" i="13"/>
  <c r="I2" i="13"/>
  <c r="H2" i="13"/>
  <c r="G2" i="13"/>
  <c r="F2" i="13"/>
  <c r="E2" i="13"/>
  <c r="D2" i="13"/>
  <c r="S1" i="13" a="1"/>
  <c r="S1" i="13" s="1"/>
  <c r="P1" i="13"/>
  <c r="M1" i="13" a="1"/>
  <c r="M1" i="13" s="1"/>
  <c r="BZ122" i="2" s="1"/>
  <c r="BK72" i="1"/>
  <c r="M71" i="1"/>
  <c r="M72" i="1" s="1"/>
  <c r="I14" i="2"/>
  <c r="I15" i="2" s="1"/>
  <c r="AM9" i="2"/>
  <c r="J13" i="2"/>
  <c r="L13" i="2"/>
  <c r="U5" i="1"/>
  <c r="CA40" i="1"/>
  <c r="CA39" i="1"/>
  <c r="CD40" i="1"/>
  <c r="CD14" i="1"/>
  <c r="BV41" i="1"/>
  <c r="AN41" i="1"/>
  <c r="AN40" i="1"/>
  <c r="BW41" i="1"/>
  <c r="H5" i="1"/>
  <c r="AA4" i="1"/>
  <c r="AF5" i="1"/>
  <c r="CD39" i="1"/>
  <c r="U4" i="1"/>
  <c r="AH39" i="1"/>
  <c r="AL39" i="1"/>
  <c r="AL40" i="1"/>
  <c r="AL41" i="1"/>
  <c r="AL138" i="2"/>
  <c r="H152" i="2"/>
  <c r="T152" i="2"/>
  <c r="AF152" i="2"/>
  <c r="AD13" i="2"/>
  <c r="AD71" i="1"/>
  <c r="I23" i="2"/>
  <c r="I25" i="2" s="1"/>
  <c r="N13" i="2"/>
  <c r="K14" i="2"/>
  <c r="K16" i="2" s="1"/>
  <c r="K17" i="2" s="1"/>
  <c r="AI14" i="2"/>
  <c r="AI23" i="2" s="1"/>
  <c r="N152" i="2"/>
  <c r="Z152" i="2"/>
  <c r="C152" i="2"/>
  <c r="S138" i="2"/>
  <c r="U152" i="2"/>
  <c r="J5" i="1"/>
  <c r="V5" i="1"/>
  <c r="AJ39" i="1"/>
  <c r="Y40" i="1"/>
  <c r="K5" i="1"/>
  <c r="Y39" i="1"/>
  <c r="AG41" i="1"/>
  <c r="BY41" i="1"/>
  <c r="AJ152" i="2"/>
  <c r="L5" i="1"/>
  <c r="M152" i="2"/>
  <c r="Y152" i="2"/>
  <c r="L4" i="1"/>
  <c r="AK5" i="1"/>
  <c r="CA41" i="1"/>
  <c r="AC40" i="1"/>
  <c r="AC39" i="1"/>
  <c r="AK152" i="2"/>
  <c r="AE4" i="1"/>
  <c r="AL12" i="1"/>
  <c r="AL17" i="1" s="1"/>
  <c r="AL19" i="1" s="1"/>
  <c r="AL98" i="2"/>
  <c r="AL134" i="2"/>
  <c r="AL135" i="2"/>
  <c r="AN4" i="2"/>
  <c r="AM4" i="2"/>
  <c r="AL13" i="2"/>
  <c r="AL4" i="2"/>
  <c r="AK93" i="2"/>
  <c r="AK62" i="2"/>
  <c r="B74" i="12"/>
  <c r="K74" i="12" s="1"/>
  <c r="J76" i="12"/>
  <c r="B76" i="12"/>
  <c r="K76" i="12" s="1"/>
  <c r="J79" i="12"/>
  <c r="B79" i="12"/>
  <c r="K79" i="12" s="1"/>
  <c r="J81" i="12"/>
  <c r="B81" i="12"/>
  <c r="K81" i="12"/>
  <c r="J82" i="12"/>
  <c r="B82" i="12"/>
  <c r="K82" i="12" s="1"/>
  <c r="B83" i="12"/>
  <c r="K83" i="12" s="1"/>
  <c r="J84" i="12"/>
  <c r="J88" i="12"/>
  <c r="B88" i="12"/>
  <c r="K88" i="12" s="1"/>
  <c r="B89" i="12"/>
  <c r="K89" i="12" s="1"/>
  <c r="J90" i="12"/>
  <c r="J92" i="12"/>
  <c r="J95" i="12"/>
  <c r="B95" i="12"/>
  <c r="K95" i="12" s="1"/>
  <c r="J96" i="12"/>
  <c r="B96" i="12"/>
  <c r="K96" i="12"/>
  <c r="J97" i="12"/>
  <c r="B97" i="12"/>
  <c r="K97" i="12" s="1"/>
  <c r="J101" i="12"/>
  <c r="B101" i="12"/>
  <c r="K101" i="12" s="1"/>
  <c r="B102" i="12"/>
  <c r="K102" i="12" s="1"/>
  <c r="J103" i="12"/>
  <c r="B103" i="12"/>
  <c r="K103" i="12" s="1"/>
  <c r="B107" i="12"/>
  <c r="K107" i="12" s="1"/>
  <c r="J108" i="12"/>
  <c r="B108" i="12"/>
  <c r="K108" i="12"/>
  <c r="J109" i="12"/>
  <c r="B109" i="12"/>
  <c r="K109" i="12" s="1"/>
  <c r="J113" i="12"/>
  <c r="B114" i="12"/>
  <c r="K114" i="12" s="1"/>
  <c r="J115" i="12"/>
  <c r="B115" i="12"/>
  <c r="K115" i="12" s="1"/>
  <c r="J121" i="12"/>
  <c r="K121" i="12"/>
  <c r="B122" i="12"/>
  <c r="K122" i="12"/>
  <c r="J123" i="12"/>
  <c r="B123" i="12"/>
  <c r="K123" i="12" s="1"/>
  <c r="J124" i="12"/>
  <c r="B124" i="12"/>
  <c r="K124" i="12"/>
  <c r="J126" i="12"/>
  <c r="B126" i="12"/>
  <c r="K126" i="12"/>
  <c r="J127" i="12"/>
  <c r="B127" i="12"/>
  <c r="K127" i="12" s="1"/>
  <c r="AK73" i="2"/>
  <c r="AK157" i="2" s="1"/>
  <c r="AL42" i="2"/>
  <c r="AL61" i="2"/>
  <c r="AL62" i="2" s="1"/>
  <c r="AL73" i="2"/>
  <c r="AL71" i="2"/>
  <c r="AL68" i="2" s="1"/>
  <c r="AM136" i="2"/>
  <c r="AL90" i="2"/>
  <c r="AL78" i="2"/>
  <c r="AL79" i="2" s="1"/>
  <c r="AL104" i="2"/>
  <c r="AL107" i="2"/>
  <c r="AM7" i="2"/>
  <c r="AN7" i="2"/>
  <c r="AN17" i="2"/>
  <c r="AM42" i="2"/>
  <c r="AM107" i="2"/>
  <c r="AN22" i="1"/>
  <c r="AN24" i="1" s="1"/>
  <c r="AN9" i="2"/>
  <c r="AN13" i="2"/>
  <c r="AN42" i="2"/>
  <c r="AM148" i="2"/>
  <c r="AM152" i="2" s="1"/>
  <c r="AM144" i="2"/>
  <c r="AM130" i="2"/>
  <c r="AN129" i="2"/>
  <c r="AN93" i="2"/>
  <c r="AM73" i="2"/>
  <c r="AM156" i="2" s="1"/>
  <c r="AM71" i="2"/>
  <c r="AM68" i="2" s="1"/>
  <c r="AN136" i="2"/>
  <c r="AM141" i="2"/>
  <c r="AM78" i="2"/>
  <c r="AM93" i="2" s="1"/>
  <c r="AM124" i="2"/>
  <c r="AM125" i="2" s="1"/>
  <c r="AM126" i="2" s="1"/>
  <c r="AM142" i="2"/>
  <c r="AN144" i="2"/>
  <c r="AN148" i="2"/>
  <c r="AN152" i="2" s="1"/>
  <c r="AN130" i="2"/>
  <c r="AN131" i="2" s="1"/>
  <c r="AN73" i="2"/>
  <c r="AN71" i="2"/>
  <c r="AN141" i="2"/>
  <c r="AN124" i="2"/>
  <c r="AN142" i="2"/>
  <c r="AR59" i="1" l="1"/>
  <c r="AQ59" i="1"/>
  <c r="B125" i="12"/>
  <c r="K125" i="12" s="1"/>
  <c r="B77" i="12"/>
  <c r="K77" i="12" s="1"/>
  <c r="H71" i="12"/>
  <c r="I73" i="12"/>
  <c r="I80" i="12"/>
  <c r="G77" i="12"/>
  <c r="H70" i="12"/>
  <c r="I71" i="12"/>
  <c r="I82" i="12"/>
  <c r="H86" i="12"/>
  <c r="H88" i="12"/>
  <c r="H92" i="12"/>
  <c r="I69" i="12"/>
  <c r="H79" i="12"/>
  <c r="G92" i="12"/>
  <c r="I84" i="12"/>
  <c r="I88" i="12"/>
  <c r="G73" i="12"/>
  <c r="H82" i="12"/>
  <c r="H84" i="12"/>
  <c r="H90" i="12"/>
  <c r="G86" i="12"/>
  <c r="G88" i="12"/>
  <c r="G90" i="12"/>
  <c r="H74" i="12"/>
  <c r="H72" i="12"/>
  <c r="G74" i="12"/>
  <c r="I79" i="12"/>
  <c r="H81" i="12"/>
  <c r="G81" i="12"/>
  <c r="I90" i="12"/>
  <c r="G79" i="12"/>
  <c r="I78" i="12"/>
  <c r="G80" i="12"/>
  <c r="I89" i="12"/>
  <c r="G82" i="12"/>
  <c r="I86" i="12"/>
  <c r="I92" i="12"/>
  <c r="G76" i="12"/>
  <c r="I83" i="12"/>
  <c r="H75" i="12"/>
  <c r="I76" i="12"/>
  <c r="H91" i="12"/>
  <c r="G71" i="12"/>
  <c r="G69" i="12"/>
  <c r="G84" i="12"/>
  <c r="H69" i="12"/>
  <c r="J94" i="12"/>
  <c r="B100" i="12"/>
  <c r="K100" i="12" s="1"/>
  <c r="G75" i="12"/>
  <c r="H77" i="12"/>
  <c r="H85" i="12"/>
  <c r="H89" i="12"/>
  <c r="B112" i="12"/>
  <c r="K112" i="12" s="1"/>
  <c r="J106" i="12"/>
  <c r="B86" i="12"/>
  <c r="K86" i="12" s="1"/>
  <c r="I74" i="12"/>
  <c r="I77" i="12"/>
  <c r="G91" i="12"/>
  <c r="K120" i="12"/>
  <c r="H78" i="12"/>
  <c r="H87" i="12"/>
  <c r="G85" i="12"/>
  <c r="G87" i="12"/>
  <c r="I70" i="12"/>
  <c r="I72" i="12"/>
  <c r="H76" i="12"/>
  <c r="G83" i="12"/>
  <c r="J98" i="12"/>
  <c r="J111" i="12"/>
  <c r="J99" i="12"/>
  <c r="I91" i="12"/>
  <c r="J87" i="12"/>
  <c r="J75" i="12"/>
  <c r="G70" i="12"/>
  <c r="G78" i="12"/>
  <c r="B118" i="12"/>
  <c r="K118" i="12" s="1"/>
  <c r="B128" i="12"/>
  <c r="K128" i="12" s="1"/>
  <c r="B110" i="12"/>
  <c r="K110" i="12" s="1"/>
  <c r="I81" i="12"/>
  <c r="G72" i="12"/>
  <c r="J91" i="12"/>
  <c r="K119" i="12"/>
  <c r="B105" i="12"/>
  <c r="K105" i="12" s="1"/>
  <c r="B93" i="12"/>
  <c r="K93" i="12" s="1"/>
  <c r="H83" i="12"/>
  <c r="I85" i="12"/>
  <c r="H73" i="12"/>
  <c r="B116" i="12"/>
  <c r="K116" i="12" s="1"/>
  <c r="B104" i="12"/>
  <c r="K104" i="12" s="1"/>
  <c r="I87" i="12"/>
  <c r="H80" i="12"/>
  <c r="B78" i="12"/>
  <c r="K78" i="12" s="1"/>
  <c r="I75" i="12"/>
  <c r="B73" i="12"/>
  <c r="K73" i="12" s="1"/>
  <c r="G89" i="12"/>
  <c r="J85" i="12"/>
  <c r="B80" i="12"/>
  <c r="K80" i="12" s="1"/>
  <c r="L124" i="12"/>
  <c r="AS59" i="1" s="1"/>
  <c r="P4" i="1"/>
  <c r="AG40" i="1"/>
  <c r="G4" i="1"/>
  <c r="Z39" i="1"/>
  <c r="P152" i="2"/>
  <c r="AB152" i="2"/>
  <c r="BU40" i="1"/>
  <c r="G152" i="2"/>
  <c r="BN3" i="1"/>
  <c r="BN138" i="2" s="1"/>
  <c r="T5" i="1"/>
  <c r="Z40" i="1"/>
  <c r="K152" i="2"/>
  <c r="O9" i="2"/>
  <c r="AI9" i="2"/>
  <c r="AK159" i="2"/>
  <c r="N9" i="2"/>
  <c r="M14" i="2"/>
  <c r="AD14" i="2"/>
  <c r="AD16" i="2" s="1"/>
  <c r="AD17" i="2" s="1"/>
  <c r="AE32" i="2"/>
  <c r="BM73" i="2"/>
  <c r="BK143" i="2"/>
  <c r="BL147" i="2" s="1"/>
  <c r="I27" i="1"/>
  <c r="I72" i="1"/>
  <c r="K42" i="2"/>
  <c r="I93" i="2"/>
  <c r="AE116" i="2"/>
  <c r="R126" i="2"/>
  <c r="AL143" i="2"/>
  <c r="AG72" i="1"/>
  <c r="P91" i="2"/>
  <c r="K93" i="2"/>
  <c r="AL152" i="2"/>
  <c r="V14" i="2"/>
  <c r="V23" i="2" s="1"/>
  <c r="V27" i="2" s="1"/>
  <c r="M9" i="2"/>
  <c r="I68" i="2"/>
  <c r="H90" i="2"/>
  <c r="BH90" i="2"/>
  <c r="F74" i="1"/>
  <c r="L9" i="2"/>
  <c r="O42" i="2"/>
  <c r="Y99" i="2"/>
  <c r="C67" i="1"/>
  <c r="C78" i="1" s="1"/>
  <c r="C84" i="1" s="1"/>
  <c r="C85" i="1" s="1"/>
  <c r="Q152" i="2"/>
  <c r="AI152" i="2"/>
  <c r="I9" i="2"/>
  <c r="O14" i="2"/>
  <c r="O16" i="2" s="1"/>
  <c r="Y68" i="2"/>
  <c r="K68" i="2"/>
  <c r="F126" i="2"/>
  <c r="R143" i="2"/>
  <c r="R147" i="2" s="1"/>
  <c r="R151" i="2" s="1"/>
  <c r="BB143" i="2"/>
  <c r="R27" i="1"/>
  <c r="T9" i="2"/>
  <c r="AY7" i="2"/>
  <c r="L143" i="2"/>
  <c r="S152" i="2"/>
  <c r="BE54" i="2"/>
  <c r="AM22" i="1"/>
  <c r="AM67" i="1" s="1"/>
  <c r="BC7" i="2"/>
  <c r="BH14" i="2"/>
  <c r="BH15" i="2" s="1"/>
  <c r="BO135" i="2"/>
  <c r="AD23" i="2"/>
  <c r="AD15" i="2"/>
  <c r="AN107" i="2"/>
  <c r="AN14" i="2"/>
  <c r="AJ71" i="1"/>
  <c r="AJ72" i="1" s="1"/>
  <c r="BA54" i="2"/>
  <c r="S126" i="2"/>
  <c r="BO7" i="2"/>
  <c r="AJ105" i="2"/>
  <c r="BE134" i="2"/>
  <c r="BP135" i="2"/>
  <c r="BC138" i="2"/>
  <c r="BB27" i="1"/>
  <c r="AN71" i="1"/>
  <c r="J7" i="2"/>
  <c r="F73" i="2"/>
  <c r="BF73" i="2"/>
  <c r="BG156" i="2" s="1"/>
  <c r="AI93" i="2"/>
  <c r="AE106" i="2"/>
  <c r="AE107" i="2" s="1"/>
  <c r="BE126" i="2"/>
  <c r="BD138" i="2"/>
  <c r="AM131" i="2"/>
  <c r="AH14" i="2"/>
  <c r="AH15" i="2" s="1"/>
  <c r="BA90" i="2"/>
  <c r="BM90" i="2"/>
  <c r="BJ134" i="2"/>
  <c r="BI72" i="1"/>
  <c r="I152" i="2"/>
  <c r="AG152" i="2"/>
  <c r="AM104" i="2"/>
  <c r="I27" i="2"/>
  <c r="I43" i="2" s="1"/>
  <c r="AN143" i="2"/>
  <c r="AN147" i="2" s="1"/>
  <c r="AN151" i="2" s="1"/>
  <c r="AJ9" i="2"/>
  <c r="BC16" i="2"/>
  <c r="BC17" i="2" s="1"/>
  <c r="J73" i="1"/>
  <c r="AX50" i="2"/>
  <c r="AG79" i="2"/>
  <c r="D152" i="2"/>
  <c r="T72" i="1"/>
  <c r="BC72" i="1"/>
  <c r="BF78" i="1"/>
  <c r="BF79" i="1" s="1"/>
  <c r="AG14" i="2"/>
  <c r="AG23" i="2" s="1"/>
  <c r="AG25" i="2" s="1"/>
  <c r="T13" i="2"/>
  <c r="BI14" i="2"/>
  <c r="AZ50" i="2"/>
  <c r="Y125" i="2"/>
  <c r="AW126" i="2"/>
  <c r="BI126" i="2"/>
  <c r="R135" i="2"/>
  <c r="AL93" i="2"/>
  <c r="R13" i="2"/>
  <c r="BK14" i="2"/>
  <c r="BK15" i="2" s="1"/>
  <c r="BI73" i="2"/>
  <c r="X66" i="2"/>
  <c r="BK73" i="2"/>
  <c r="E90" i="2"/>
  <c r="BE90" i="2"/>
  <c r="U99" i="2"/>
  <c r="BJ126" i="2"/>
  <c r="Z135" i="2"/>
  <c r="BN143" i="2"/>
  <c r="L152" i="2"/>
  <c r="X152" i="2"/>
  <c r="F152" i="2"/>
  <c r="AK14" i="2"/>
  <c r="AK15" i="2" s="1"/>
  <c r="V71" i="1"/>
  <c r="V72" i="1" s="1"/>
  <c r="BO52" i="2"/>
  <c r="AX73" i="2"/>
  <c r="AZ73" i="2"/>
  <c r="BL73" i="2"/>
  <c r="K91" i="2"/>
  <c r="T91" i="2"/>
  <c r="BB135" i="2"/>
  <c r="K143" i="2"/>
  <c r="S143" i="2"/>
  <c r="BC143" i="2"/>
  <c r="BC145" i="2" s="1"/>
  <c r="BC48" i="2" s="1"/>
  <c r="BC51" i="2" s="1"/>
  <c r="BO143" i="2"/>
  <c r="BE73" i="1"/>
  <c r="BE75" i="1" s="1"/>
  <c r="AL91" i="2"/>
  <c r="AM157" i="2"/>
  <c r="AM159" i="2"/>
  <c r="U9" i="2"/>
  <c r="AW7" i="2"/>
  <c r="AZ54" i="2"/>
  <c r="AY143" i="2"/>
  <c r="AY145" i="2" s="1"/>
  <c r="AY48" i="2" s="1"/>
  <c r="AI25" i="2"/>
  <c r="AI27" i="2"/>
  <c r="AI28" i="2" s="1"/>
  <c r="BF23" i="2"/>
  <c r="BF16" i="2"/>
  <c r="BF15" i="2"/>
  <c r="N14" i="2"/>
  <c r="N7" i="2"/>
  <c r="AW15" i="2"/>
  <c r="AW23" i="2"/>
  <c r="AW25" i="2" s="1"/>
  <c r="AW16" i="2"/>
  <c r="Q133" i="2"/>
  <c r="Q135" i="2" s="1"/>
  <c r="Q106" i="2"/>
  <c r="Q107" i="2" s="1"/>
  <c r="BC146" i="2"/>
  <c r="BC41" i="2" s="1"/>
  <c r="N72" i="1"/>
  <c r="N73" i="1"/>
  <c r="M93" i="2"/>
  <c r="Z125" i="2"/>
  <c r="Z126" i="2" s="1"/>
  <c r="Z115" i="2"/>
  <c r="AA113" i="2"/>
  <c r="AE115" i="2" s="1"/>
  <c r="Z32" i="2"/>
  <c r="Y115" i="2"/>
  <c r="Z116" i="2"/>
  <c r="W137" i="2"/>
  <c r="AD9" i="2"/>
  <c r="BO15" i="2"/>
  <c r="BO23" i="2"/>
  <c r="AE137" i="2"/>
  <c r="AE68" i="2"/>
  <c r="AF65" i="2"/>
  <c r="AF137" i="2" s="1"/>
  <c r="W66" i="2"/>
  <c r="R99" i="2"/>
  <c r="AM90" i="2"/>
  <c r="AM91" i="2" s="1"/>
  <c r="AN87" i="2"/>
  <c r="AA99" i="2"/>
  <c r="BC126" i="2"/>
  <c r="BO126" i="2"/>
  <c r="BO107" i="2"/>
  <c r="BO54" i="2" s="1"/>
  <c r="AZ126" i="2"/>
  <c r="BL126" i="2"/>
  <c r="Q9" i="2"/>
  <c r="AI16" i="2"/>
  <c r="AI15" i="2"/>
  <c r="S9" i="2"/>
  <c r="AA71" i="1"/>
  <c r="AA72" i="1" s="1"/>
  <c r="C1" i="2"/>
  <c r="AE13" i="2"/>
  <c r="AE71" i="1"/>
  <c r="AE74" i="1" s="1"/>
  <c r="AE9" i="2"/>
  <c r="AE14" i="2"/>
  <c r="Y32" i="2"/>
  <c r="W68" i="2"/>
  <c r="AW73" i="2"/>
  <c r="AD115" i="2"/>
  <c r="BA126" i="2"/>
  <c r="BG126" i="2"/>
  <c r="N135" i="2"/>
  <c r="N134" i="2"/>
  <c r="D135" i="2"/>
  <c r="AZ138" i="2"/>
  <c r="O124" i="2"/>
  <c r="O125" i="2" s="1"/>
  <c r="O78" i="2"/>
  <c r="C55" i="2"/>
  <c r="BJ73" i="2"/>
  <c r="O133" i="2"/>
  <c r="O134" i="2" s="1"/>
  <c r="O106" i="2"/>
  <c r="O107" i="2" s="1"/>
  <c r="S107" i="2"/>
  <c r="BB126" i="2"/>
  <c r="BN126" i="2"/>
  <c r="F135" i="2"/>
  <c r="AE143" i="2"/>
  <c r="AE145" i="2" s="1"/>
  <c r="AY73" i="2"/>
  <c r="BM126" i="2"/>
  <c r="AL77" i="2"/>
  <c r="AL22" i="1"/>
  <c r="AN157" i="2"/>
  <c r="AN159" i="2"/>
  <c r="U13" i="2"/>
  <c r="U71" i="1"/>
  <c r="U14" i="2"/>
  <c r="U23" i="2" s="1"/>
  <c r="AK23" i="2"/>
  <c r="AK27" i="2" s="1"/>
  <c r="AG13" i="2"/>
  <c r="AG9" i="2"/>
  <c r="U79" i="2"/>
  <c r="AX90" i="2"/>
  <c r="BJ90" i="2"/>
  <c r="BJ91" i="2" s="1"/>
  <c r="BD12" i="1"/>
  <c r="BB73" i="1"/>
  <c r="BN73" i="1"/>
  <c r="BN75" i="1" s="1"/>
  <c r="AY27" i="2"/>
  <c r="AY31" i="2" s="1"/>
  <c r="AY25" i="2"/>
  <c r="AB13" i="2"/>
  <c r="AB14" i="2"/>
  <c r="AB71" i="1"/>
  <c r="AB9" i="2"/>
  <c r="AM143" i="2"/>
  <c r="AM145" i="2" s="1"/>
  <c r="AL156" i="2"/>
  <c r="AK131" i="2"/>
  <c r="AK147" i="2"/>
  <c r="AK151" i="2" s="1"/>
  <c r="AK22" i="1"/>
  <c r="AK25" i="1" s="1"/>
  <c r="AC13" i="2"/>
  <c r="AX14" i="2"/>
  <c r="AX23" i="2" s="1"/>
  <c r="AX7" i="2"/>
  <c r="W99" i="2"/>
  <c r="AY90" i="2"/>
  <c r="BK90" i="2"/>
  <c r="C126" i="2"/>
  <c r="BG135" i="2"/>
  <c r="BG134" i="2"/>
  <c r="AZ134" i="2"/>
  <c r="AD135" i="2"/>
  <c r="AA143" i="2"/>
  <c r="AA147" i="2" s="1"/>
  <c r="AA151" i="2" s="1"/>
  <c r="AJ27" i="1"/>
  <c r="AJ28" i="1" s="1"/>
  <c r="AM71" i="1"/>
  <c r="AM72" i="1" s="1"/>
  <c r="AM14" i="2"/>
  <c r="AM16" i="2" s="1"/>
  <c r="AM13" i="2"/>
  <c r="BC47" i="2"/>
  <c r="BC52" i="2"/>
  <c r="N78" i="2"/>
  <c r="N93" i="2" s="1"/>
  <c r="AC9" i="2"/>
  <c r="P133" i="2"/>
  <c r="P134" i="2" s="1"/>
  <c r="P106" i="2"/>
  <c r="P107" i="2" s="1"/>
  <c r="AL131" i="2"/>
  <c r="AL157" i="2"/>
  <c r="AK91" i="2"/>
  <c r="K23" i="2"/>
  <c r="AK9" i="2"/>
  <c r="T14" i="2"/>
  <c r="BF7" i="2"/>
  <c r="AI13" i="2"/>
  <c r="B73" i="2"/>
  <c r="BB73" i="2"/>
  <c r="BN73" i="2"/>
  <c r="BN131" i="2" s="1"/>
  <c r="W79" i="2"/>
  <c r="T105" i="2"/>
  <c r="BC107" i="2"/>
  <c r="V125" i="2"/>
  <c r="V126" i="2" s="1"/>
  <c r="BF126" i="2"/>
  <c r="BC134" i="2"/>
  <c r="K15" i="2"/>
  <c r="AL9" i="2"/>
  <c r="Q13" i="2"/>
  <c r="BC23" i="2"/>
  <c r="Y9" i="2"/>
  <c r="Y14" i="2"/>
  <c r="BD14" i="2"/>
  <c r="BD23" i="2" s="1"/>
  <c r="BD27" i="2" s="1"/>
  <c r="BD49" i="2" s="1"/>
  <c r="C73" i="2"/>
  <c r="C157" i="2" s="1"/>
  <c r="BC73" i="2"/>
  <c r="BC159" i="2" s="1"/>
  <c r="BO73" i="2"/>
  <c r="BO157" i="2" s="1"/>
  <c r="V116" i="2"/>
  <c r="V115" i="2"/>
  <c r="AW134" i="2"/>
  <c r="AW135" i="2"/>
  <c r="BD134" i="2"/>
  <c r="R9" i="2"/>
  <c r="AL159" i="2"/>
  <c r="AK156" i="2"/>
  <c r="AN156" i="2"/>
  <c r="AM79" i="2"/>
  <c r="AK13" i="2"/>
  <c r="Q71" i="1"/>
  <c r="BL7" i="2"/>
  <c r="Z14" i="2"/>
  <c r="BH73" i="2"/>
  <c r="B90" i="2"/>
  <c r="B91" i="2" s="1"/>
  <c r="BB90" i="2"/>
  <c r="BB91" i="2" s="1"/>
  <c r="BN90" i="2"/>
  <c r="AB102" i="2"/>
  <c r="AC102" i="2" s="1"/>
  <c r="AA107" i="2"/>
  <c r="W115" i="2"/>
  <c r="W32" i="2"/>
  <c r="F143" i="2"/>
  <c r="O152" i="2"/>
  <c r="AA152" i="2"/>
  <c r="AM12" i="1"/>
  <c r="AM17" i="1" s="1"/>
  <c r="AM19" i="1" s="1"/>
  <c r="AL14" i="2"/>
  <c r="AA14" i="2"/>
  <c r="AA68" i="2"/>
  <c r="BA73" i="2"/>
  <c r="BA91" i="2" s="1"/>
  <c r="BB138" i="2"/>
  <c r="Q143" i="2"/>
  <c r="Q147" i="2" s="1"/>
  <c r="Q151" i="2" s="1"/>
  <c r="AC143" i="2"/>
  <c r="AC147" i="2" s="1"/>
  <c r="AC151" i="2" s="1"/>
  <c r="BA143" i="2"/>
  <c r="BB147" i="2" s="1"/>
  <c r="BM143" i="2"/>
  <c r="J143" i="2"/>
  <c r="V143" i="2"/>
  <c r="AH143" i="2"/>
  <c r="BF143" i="2"/>
  <c r="BF145" i="2" s="1"/>
  <c r="M13" i="1"/>
  <c r="Y13" i="1"/>
  <c r="BH12" i="1"/>
  <c r="BH14" i="1" s="1"/>
  <c r="AM112" i="2"/>
  <c r="D73" i="2"/>
  <c r="BD73" i="2"/>
  <c r="BD131" i="2" s="1"/>
  <c r="BP73" i="2"/>
  <c r="BP131" i="2" s="1"/>
  <c r="S99" i="2"/>
  <c r="C90" i="2"/>
  <c r="BC90" i="2"/>
  <c r="BO90" i="2"/>
  <c r="AE135" i="2"/>
  <c r="AI106" i="2"/>
  <c r="BH138" i="2"/>
  <c r="M143" i="2"/>
  <c r="M145" i="2" s="1"/>
  <c r="AW143" i="2"/>
  <c r="BI143" i="2"/>
  <c r="BI145" i="2" s="1"/>
  <c r="AN105" i="2"/>
  <c r="S14" i="2"/>
  <c r="S15" i="2" s="1"/>
  <c r="S13" i="2"/>
  <c r="BE7" i="2"/>
  <c r="E73" i="2"/>
  <c r="T99" i="2"/>
  <c r="BD90" i="2"/>
  <c r="BD91" i="2" s="1"/>
  <c r="BP90" i="2"/>
  <c r="AF105" i="2"/>
  <c r="X115" i="2"/>
  <c r="E143" i="2"/>
  <c r="B143" i="2"/>
  <c r="B147" i="2" s="1"/>
  <c r="B151" i="2" s="1"/>
  <c r="Z143" i="2"/>
  <c r="Z145" i="2" s="1"/>
  <c r="AX143" i="2"/>
  <c r="AY147" i="2" s="1"/>
  <c r="BJ143" i="2"/>
  <c r="AN110" i="2"/>
  <c r="AN112" i="2" s="1"/>
  <c r="BE23" i="2"/>
  <c r="G73" i="2"/>
  <c r="G159" i="2" s="1"/>
  <c r="S79" i="2"/>
  <c r="F90" i="2"/>
  <c r="BF90" i="2"/>
  <c r="AE134" i="2"/>
  <c r="G143" i="2"/>
  <c r="W143" i="2"/>
  <c r="W147" i="2" s="1"/>
  <c r="W151" i="2" s="1"/>
  <c r="AI143" i="2"/>
  <c r="AI147" i="2" s="1"/>
  <c r="AI151" i="2" s="1"/>
  <c r="BG143" i="2"/>
  <c r="BG145" i="2" s="1"/>
  <c r="BG48" i="2" s="1"/>
  <c r="AB143" i="2"/>
  <c r="AB147" i="2" s="1"/>
  <c r="AB151" i="2" s="1"/>
  <c r="AZ143" i="2"/>
  <c r="BL143" i="2"/>
  <c r="BL145" i="2" s="1"/>
  <c r="BL48" i="2" s="1"/>
  <c r="BL53" i="2" s="1"/>
  <c r="AD82" i="1"/>
  <c r="AN145" i="2"/>
  <c r="AN146" i="2" s="1"/>
  <c r="AN41" i="2" s="1"/>
  <c r="AI114" i="2"/>
  <c r="AI163" i="2" s="1"/>
  <c r="AI38" i="2"/>
  <c r="AI31" i="2"/>
  <c r="AI37" i="2"/>
  <c r="AI155" i="2"/>
  <c r="BR1" i="2"/>
  <c r="D140" i="2"/>
  <c r="D154" i="2"/>
  <c r="D109" i="2"/>
  <c r="D55" i="2"/>
  <c r="D44" i="2"/>
  <c r="D96" i="2"/>
  <c r="E2" i="2"/>
  <c r="D1" i="2"/>
  <c r="BC27" i="2"/>
  <c r="BC25" i="2"/>
  <c r="AI165" i="2"/>
  <c r="W13" i="2"/>
  <c r="W71" i="1"/>
  <c r="W14" i="2"/>
  <c r="W9" i="2"/>
  <c r="AF13" i="2"/>
  <c r="AF9" i="2"/>
  <c r="AF14" i="2"/>
  <c r="BN54" i="2"/>
  <c r="BN52" i="2"/>
  <c r="O71" i="1"/>
  <c r="O72" i="1" s="1"/>
  <c r="X71" i="1"/>
  <c r="AB73" i="1" s="1"/>
  <c r="X13" i="2"/>
  <c r="X14" i="2"/>
  <c r="X9" i="2"/>
  <c r="G14" i="2"/>
  <c r="G9" i="2"/>
  <c r="G13" i="2"/>
  <c r="G71" i="1"/>
  <c r="G74" i="1" s="1"/>
  <c r="O15" i="2"/>
  <c r="O23" i="2"/>
  <c r="BI16" i="2"/>
  <c r="BI23" i="2"/>
  <c r="BI15" i="2"/>
  <c r="BK23" i="2"/>
  <c r="BK16" i="2"/>
  <c r="BN50" i="2"/>
  <c r="BQ140" i="2"/>
  <c r="BQ96" i="2"/>
  <c r="BQ109" i="2"/>
  <c r="BQ154" i="2"/>
  <c r="BQ55" i="2"/>
  <c r="BQ44" i="2"/>
  <c r="BR2" i="2"/>
  <c r="D15" i="2"/>
  <c r="D16" i="2"/>
  <c r="AW50" i="2"/>
  <c r="AW54" i="2"/>
  <c r="AW47" i="2"/>
  <c r="AW52" i="2"/>
  <c r="AH157" i="2"/>
  <c r="AH159" i="2"/>
  <c r="AH156" i="2"/>
  <c r="AH91" i="2"/>
  <c r="AH131" i="2"/>
  <c r="E7" i="2"/>
  <c r="E14" i="2"/>
  <c r="AC7" i="2"/>
  <c r="AC14" i="2"/>
  <c r="BA7" i="2"/>
  <c r="BA14" i="2"/>
  <c r="BM7" i="2"/>
  <c r="BM14" i="2"/>
  <c r="J23" i="2"/>
  <c r="J15" i="2"/>
  <c r="J16" i="2"/>
  <c r="D159" i="2"/>
  <c r="D156" i="2"/>
  <c r="D157" i="2"/>
  <c r="F7" i="2"/>
  <c r="F14" i="2"/>
  <c r="R7" i="2"/>
  <c r="R14" i="2"/>
  <c r="BB14" i="2"/>
  <c r="BB7" i="2"/>
  <c r="BN14" i="2"/>
  <c r="BN7" i="2"/>
  <c r="AY165" i="2"/>
  <c r="AY28" i="2"/>
  <c r="AY155" i="2"/>
  <c r="D23" i="2"/>
  <c r="AK24" i="1"/>
  <c r="I165" i="2"/>
  <c r="I161" i="2"/>
  <c r="O13" i="2"/>
  <c r="BD25" i="2"/>
  <c r="BL52" i="2"/>
  <c r="BL54" i="2"/>
  <c r="BL50" i="2"/>
  <c r="BB52" i="2"/>
  <c r="BB54" i="2"/>
  <c r="BB50" i="2"/>
  <c r="L157" i="2"/>
  <c r="L159" i="2"/>
  <c r="L156" i="2"/>
  <c r="L131" i="2"/>
  <c r="BK131" i="2"/>
  <c r="H14" i="2"/>
  <c r="H13" i="2"/>
  <c r="H9" i="2"/>
  <c r="T73" i="1"/>
  <c r="P72" i="1"/>
  <c r="AZ23" i="2"/>
  <c r="AZ16" i="2"/>
  <c r="BI50" i="2"/>
  <c r="BI52" i="2"/>
  <c r="AY52" i="2"/>
  <c r="AY53" i="2"/>
  <c r="AY50" i="2"/>
  <c r="P13" i="2"/>
  <c r="P9" i="2"/>
  <c r="Z71" i="1"/>
  <c r="Z72" i="1" s="1"/>
  <c r="W159" i="2"/>
  <c r="W156" i="2"/>
  <c r="W157" i="2"/>
  <c r="AI159" i="2"/>
  <c r="AI156" i="2"/>
  <c r="AI157" i="2"/>
  <c r="O81" i="1"/>
  <c r="O82" i="1" s="1"/>
  <c r="O137" i="2"/>
  <c r="O98" i="2"/>
  <c r="O66" i="2"/>
  <c r="P65" i="2"/>
  <c r="P68" i="2" s="1"/>
  <c r="BD54" i="2"/>
  <c r="I13" i="2"/>
  <c r="J9" i="2"/>
  <c r="X157" i="2"/>
  <c r="X156" i="2"/>
  <c r="X159" i="2"/>
  <c r="AJ157" i="2"/>
  <c r="AJ159" i="2"/>
  <c r="AJ156" i="2"/>
  <c r="S81" i="1"/>
  <c r="S66" i="2"/>
  <c r="S137" i="2"/>
  <c r="S98" i="2"/>
  <c r="S68" i="2"/>
  <c r="W91" i="2"/>
  <c r="AI91" i="2"/>
  <c r="BI54" i="2"/>
  <c r="AH9" i="2"/>
  <c r="Y71" i="1"/>
  <c r="AC73" i="1" s="1"/>
  <c r="BG7" i="2"/>
  <c r="BG14" i="2"/>
  <c r="BM52" i="2"/>
  <c r="BM54" i="2"/>
  <c r="V9" i="2"/>
  <c r="H71" i="1"/>
  <c r="AZ15" i="2"/>
  <c r="BG50" i="2"/>
  <c r="BG52" i="2"/>
  <c r="BG54" i="2"/>
  <c r="BG53" i="2"/>
  <c r="Z9" i="2"/>
  <c r="BD16" i="2"/>
  <c r="BD15" i="2"/>
  <c r="BI91" i="2"/>
  <c r="B7" i="2"/>
  <c r="B14" i="2"/>
  <c r="BJ14" i="2"/>
  <c r="BJ7" i="2"/>
  <c r="P14" i="2"/>
  <c r="BE25" i="2"/>
  <c r="BE27" i="2"/>
  <c r="Q157" i="2"/>
  <c r="Q159" i="2"/>
  <c r="Q156" i="2"/>
  <c r="Q131" i="2"/>
  <c r="Q91" i="2"/>
  <c r="AC157" i="2"/>
  <c r="AC159" i="2"/>
  <c r="AC156" i="2"/>
  <c r="AF81" i="1"/>
  <c r="AF27" i="1" s="1"/>
  <c r="AF98" i="2"/>
  <c r="AF68" i="2"/>
  <c r="AF66" i="2"/>
  <c r="AG65" i="2"/>
  <c r="L79" i="2"/>
  <c r="L99" i="2"/>
  <c r="L93" i="2"/>
  <c r="G133" i="2"/>
  <c r="G106" i="2"/>
  <c r="H105" i="2"/>
  <c r="C7" i="2"/>
  <c r="C14" i="2"/>
  <c r="AY16" i="2"/>
  <c r="AY15" i="2"/>
  <c r="R159" i="2"/>
  <c r="R156" i="2"/>
  <c r="R131" i="2"/>
  <c r="R157" i="2"/>
  <c r="R91" i="2"/>
  <c r="AD159" i="2"/>
  <c r="AD156" i="2"/>
  <c r="AD131" i="2"/>
  <c r="AD91" i="2"/>
  <c r="AD157" i="2"/>
  <c r="AB159" i="2"/>
  <c r="AB156" i="2"/>
  <c r="AB157" i="2"/>
  <c r="AB91" i="2"/>
  <c r="I16" i="2"/>
  <c r="Z13" i="2"/>
  <c r="AA9" i="2"/>
  <c r="C140" i="2"/>
  <c r="C154" i="2"/>
  <c r="C44" i="2"/>
  <c r="C109" i="2"/>
  <c r="C96" i="2"/>
  <c r="BL16" i="2"/>
  <c r="BL23" i="2"/>
  <c r="BH23" i="2"/>
  <c r="BH16" i="2"/>
  <c r="Q66" i="2"/>
  <c r="B131" i="2"/>
  <c r="B157" i="2"/>
  <c r="B156" i="2"/>
  <c r="B159" i="2"/>
  <c r="BB131" i="2"/>
  <c r="BO156" i="2"/>
  <c r="BN91" i="2"/>
  <c r="AG159" i="2"/>
  <c r="AG156" i="2"/>
  <c r="AG157" i="2"/>
  <c r="AG131" i="2"/>
  <c r="AG91" i="2"/>
  <c r="N131" i="2"/>
  <c r="N159" i="2"/>
  <c r="N157" i="2"/>
  <c r="N156" i="2"/>
  <c r="Z131" i="2"/>
  <c r="Z156" i="2"/>
  <c r="Z157" i="2"/>
  <c r="Z159" i="2"/>
  <c r="AX131" i="2"/>
  <c r="BF91" i="2"/>
  <c r="H72" i="2"/>
  <c r="H73" i="2" s="1"/>
  <c r="H91" i="2" s="1"/>
  <c r="H68" i="2"/>
  <c r="BG157" i="2"/>
  <c r="BG159" i="2"/>
  <c r="I159" i="2"/>
  <c r="I156" i="2"/>
  <c r="I157" i="2"/>
  <c r="I131" i="2"/>
  <c r="BA159" i="2"/>
  <c r="BA156" i="2"/>
  <c r="Q93" i="2"/>
  <c r="Q79" i="2"/>
  <c r="AC99" i="2"/>
  <c r="AC93" i="2"/>
  <c r="AC79" i="2"/>
  <c r="K159" i="2"/>
  <c r="K156" i="2"/>
  <c r="K157" i="2"/>
  <c r="BH159" i="2"/>
  <c r="BH156" i="2"/>
  <c r="N91" i="2"/>
  <c r="Z91" i="2"/>
  <c r="Q14" i="2"/>
  <c r="S156" i="2"/>
  <c r="S157" i="2"/>
  <c r="S159" i="2"/>
  <c r="AE157" i="2"/>
  <c r="AE159" i="2"/>
  <c r="AE156" i="2"/>
  <c r="AE91" i="2"/>
  <c r="BN157" i="2"/>
  <c r="BN159" i="2"/>
  <c r="BN156" i="2"/>
  <c r="BM131" i="2"/>
  <c r="AD84" i="2"/>
  <c r="AD99" i="2" s="1"/>
  <c r="AE83" i="2"/>
  <c r="BP14" i="2"/>
  <c r="BP7" i="2"/>
  <c r="C6" i="13"/>
  <c r="C7" i="13" s="1"/>
  <c r="K71" i="1"/>
  <c r="K72" i="1" s="1"/>
  <c r="V157" i="2"/>
  <c r="V156" i="2"/>
  <c r="V159" i="2"/>
  <c r="AZ90" i="2"/>
  <c r="AZ91" i="2" s="1"/>
  <c r="BL90" i="2"/>
  <c r="U159" i="2"/>
  <c r="U156" i="2"/>
  <c r="U157" i="2"/>
  <c r="U131" i="2"/>
  <c r="U91" i="2"/>
  <c r="I85" i="2"/>
  <c r="I90" i="2" s="1"/>
  <c r="I91" i="2" s="1"/>
  <c r="I99" i="2"/>
  <c r="BM91" i="2"/>
  <c r="K9" i="2"/>
  <c r="L14" i="2"/>
  <c r="L71" i="1"/>
  <c r="L73" i="1" s="1"/>
  <c r="BE15" i="2"/>
  <c r="V99" i="2"/>
  <c r="S91" i="2"/>
  <c r="BH50" i="2"/>
  <c r="BH54" i="2"/>
  <c r="BH52" i="2"/>
  <c r="T156" i="2"/>
  <c r="T131" i="2"/>
  <c r="T157" i="2"/>
  <c r="T159" i="2"/>
  <c r="AF157" i="2"/>
  <c r="AF156" i="2"/>
  <c r="AF159" i="2"/>
  <c r="AF131" i="2"/>
  <c r="M159" i="2"/>
  <c r="M157" i="2"/>
  <c r="M156" i="2"/>
  <c r="AC91" i="2"/>
  <c r="AF91" i="2"/>
  <c r="AD126" i="2"/>
  <c r="Q145" i="2"/>
  <c r="BM145" i="2"/>
  <c r="BN147" i="2"/>
  <c r="BM147" i="2"/>
  <c r="J147" i="2"/>
  <c r="J151" i="2" s="1"/>
  <c r="J145" i="2"/>
  <c r="V147" i="2"/>
  <c r="V151" i="2" s="1"/>
  <c r="V145" i="2"/>
  <c r="BD47" i="2"/>
  <c r="BD50" i="2"/>
  <c r="K81" i="1"/>
  <c r="K27" i="1" s="1"/>
  <c r="K137" i="2"/>
  <c r="K98" i="2"/>
  <c r="AK65" i="2"/>
  <c r="AI81" i="1"/>
  <c r="AI98" i="2"/>
  <c r="AI137" i="2"/>
  <c r="K66" i="2"/>
  <c r="AZ159" i="2"/>
  <c r="AY54" i="2"/>
  <c r="BK107" i="2"/>
  <c r="BK126" i="2"/>
  <c r="L147" i="2"/>
  <c r="L151" i="2" s="1"/>
  <c r="L145" i="2"/>
  <c r="BJ54" i="2"/>
  <c r="BJ52" i="2"/>
  <c r="L81" i="1"/>
  <c r="L27" i="1" s="1"/>
  <c r="L28" i="1" s="1"/>
  <c r="L137" i="2"/>
  <c r="L98" i="2"/>
  <c r="L68" i="2"/>
  <c r="L66" i="2"/>
  <c r="P159" i="2"/>
  <c r="P156" i="2"/>
  <c r="P157" i="2"/>
  <c r="AX159" i="2"/>
  <c r="AX157" i="2"/>
  <c r="AX156" i="2"/>
  <c r="O126" i="2"/>
  <c r="O135" i="2"/>
  <c r="BF50" i="2"/>
  <c r="BF54" i="2"/>
  <c r="M65" i="2"/>
  <c r="O68" i="2"/>
  <c r="BB157" i="2"/>
  <c r="BB159" i="2"/>
  <c r="BB156" i="2"/>
  <c r="P141" i="2"/>
  <c r="Q124" i="2"/>
  <c r="Q125" i="2" s="1"/>
  <c r="Q126" i="2" s="1"/>
  <c r="P78" i="2"/>
  <c r="Q99" i="2" s="1"/>
  <c r="P124" i="2"/>
  <c r="P125" i="2" s="1"/>
  <c r="P126" i="2" s="1"/>
  <c r="D91" i="2"/>
  <c r="N22" i="1"/>
  <c r="N24" i="1" s="1"/>
  <c r="N77" i="2"/>
  <c r="AI73" i="1"/>
  <c r="BE52" i="2"/>
  <c r="AI66" i="2"/>
  <c r="Q68" i="2"/>
  <c r="R66" i="2"/>
  <c r="AD66" i="2"/>
  <c r="X79" i="2"/>
  <c r="X93" i="2"/>
  <c r="X99" i="2"/>
  <c r="AJ79" i="2"/>
  <c r="AJ93" i="2"/>
  <c r="BE47" i="2"/>
  <c r="BJ50" i="2"/>
  <c r="O157" i="2"/>
  <c r="O159" i="2"/>
  <c r="O156" i="2"/>
  <c r="O131" i="2"/>
  <c r="AA157" i="2"/>
  <c r="AA159" i="2"/>
  <c r="AA156" i="2"/>
  <c r="AA131" i="2"/>
  <c r="E157" i="2"/>
  <c r="E159" i="2"/>
  <c r="E156" i="2"/>
  <c r="C156" i="2"/>
  <c r="Y159" i="2"/>
  <c r="Y157" i="2"/>
  <c r="Y156" i="2"/>
  <c r="AW91" i="2"/>
  <c r="L91" i="2"/>
  <c r="X91" i="2"/>
  <c r="AJ91" i="2"/>
  <c r="AJ14" i="2"/>
  <c r="BA52" i="2"/>
  <c r="BH47" i="2"/>
  <c r="BK50" i="2"/>
  <c r="X81" i="1"/>
  <c r="X27" i="1" s="1"/>
  <c r="X98" i="2"/>
  <c r="X137" i="2"/>
  <c r="X68" i="2"/>
  <c r="AI68" i="2"/>
  <c r="F159" i="2"/>
  <c r="F156" i="2"/>
  <c r="F131" i="2"/>
  <c r="F157" i="2"/>
  <c r="F91" i="2"/>
  <c r="W106" i="2"/>
  <c r="W107" i="2" s="1"/>
  <c r="W133" i="2"/>
  <c r="X105" i="2"/>
  <c r="P135" i="2"/>
  <c r="V131" i="2"/>
  <c r="E135" i="2"/>
  <c r="E134" i="2"/>
  <c r="BI134" i="2"/>
  <c r="BI135" i="2"/>
  <c r="X147" i="2"/>
  <c r="X151" i="2" s="1"/>
  <c r="X145" i="2"/>
  <c r="BI147" i="2"/>
  <c r="BH145" i="2"/>
  <c r="AI135" i="2"/>
  <c r="Q134" i="2"/>
  <c r="AW138" i="2"/>
  <c r="AW145" i="2"/>
  <c r="S135" i="2"/>
  <c r="AY126" i="2"/>
  <c r="X131" i="2"/>
  <c r="E147" i="2"/>
  <c r="E151" i="2" s="1"/>
  <c r="E145" i="2"/>
  <c r="B145" i="2"/>
  <c r="BJ145" i="2"/>
  <c r="M131" i="2"/>
  <c r="N129" i="2"/>
  <c r="Y131" i="2"/>
  <c r="Z129" i="2"/>
  <c r="AW131" i="2"/>
  <c r="AX129" i="2"/>
  <c r="BI131" i="2"/>
  <c r="BJ129" i="2"/>
  <c r="W81" i="1"/>
  <c r="W27" i="1" s="1"/>
  <c r="W98" i="2"/>
  <c r="BE73" i="2"/>
  <c r="M91" i="2"/>
  <c r="Y91" i="2"/>
  <c r="Z99" i="2"/>
  <c r="AX126" i="2"/>
  <c r="AX107" i="2"/>
  <c r="BA138" i="2"/>
  <c r="BA135" i="2"/>
  <c r="BA134" i="2"/>
  <c r="BN134" i="2"/>
  <c r="BN135" i="2"/>
  <c r="G147" i="2"/>
  <c r="G151" i="2" s="1"/>
  <c r="G145" i="2"/>
  <c r="D143" i="2"/>
  <c r="P143" i="2"/>
  <c r="AZ145" i="2"/>
  <c r="AD145" i="2"/>
  <c r="AD147" i="2"/>
  <c r="AD151" i="2" s="1"/>
  <c r="AJ147" i="2"/>
  <c r="AJ151" i="2" s="1"/>
  <c r="AJ145" i="2"/>
  <c r="AA81" i="1"/>
  <c r="AA27" i="1" s="1"/>
  <c r="AA137" i="2"/>
  <c r="AA98" i="2"/>
  <c r="O91" i="2"/>
  <c r="AA91" i="2"/>
  <c r="AB65" i="2"/>
  <c r="AB68" i="2" s="1"/>
  <c r="N79" i="2"/>
  <c r="Y93" i="2"/>
  <c r="AE125" i="2"/>
  <c r="AE126" i="2" s="1"/>
  <c r="AF125" i="2"/>
  <c r="BD126" i="2"/>
  <c r="BP126" i="2"/>
  <c r="E131" i="2"/>
  <c r="F129" i="2"/>
  <c r="AD129" i="2"/>
  <c r="AC131" i="2"/>
  <c r="BA131" i="2"/>
  <c r="BB129" i="2"/>
  <c r="J135" i="2"/>
  <c r="K147" i="2"/>
  <c r="K151" i="2" s="1"/>
  <c r="K145" i="2"/>
  <c r="K146" i="2" s="1"/>
  <c r="K41" i="2" s="1"/>
  <c r="S145" i="2"/>
  <c r="S147" i="2"/>
  <c r="S151" i="2" s="1"/>
  <c r="BO145" i="2"/>
  <c r="N126" i="2"/>
  <c r="Z93" i="2"/>
  <c r="AE98" i="2"/>
  <c r="M99" i="2"/>
  <c r="K106" i="2"/>
  <c r="K107" i="2" s="1"/>
  <c r="K133" i="2"/>
  <c r="AA133" i="2"/>
  <c r="AA138" i="2" s="1"/>
  <c r="AB105" i="2"/>
  <c r="AC105" i="2" s="1"/>
  <c r="AG113" i="2"/>
  <c r="AF115" i="2"/>
  <c r="AF116" i="2"/>
  <c r="D126" i="2"/>
  <c r="B126" i="2"/>
  <c r="AZ147" i="2"/>
  <c r="Y145" i="2"/>
  <c r="BN47" i="2"/>
  <c r="AE66" i="2"/>
  <c r="AB79" i="2"/>
  <c r="AB99" i="2"/>
  <c r="AB93" i="2"/>
  <c r="BG91" i="2"/>
  <c r="AA93" i="2"/>
  <c r="N99" i="2"/>
  <c r="L105" i="2"/>
  <c r="AI115" i="2"/>
  <c r="AI116" i="2"/>
  <c r="AI125" i="2"/>
  <c r="AJ113" i="2"/>
  <c r="AJ125" i="2" s="1"/>
  <c r="E126" i="2"/>
  <c r="H129" i="2"/>
  <c r="S131" i="2"/>
  <c r="T129" i="2"/>
  <c r="AE131" i="2"/>
  <c r="AF129" i="2"/>
  <c r="BD129" i="2"/>
  <c r="BP129" i="2"/>
  <c r="C147" i="2"/>
  <c r="C151" i="2" s="1"/>
  <c r="C145" i="2"/>
  <c r="BN145" i="2"/>
  <c r="AB145" i="2"/>
  <c r="AE81" i="1"/>
  <c r="AB131" i="2"/>
  <c r="V135" i="2"/>
  <c r="AX135" i="2"/>
  <c r="AX138" i="2"/>
  <c r="AY138" i="2"/>
  <c r="AY135" i="2"/>
  <c r="F145" i="2"/>
  <c r="D67" i="1"/>
  <c r="AZ47" i="2"/>
  <c r="AN65" i="2"/>
  <c r="AM81" i="1"/>
  <c r="AM82" i="1" s="1"/>
  <c r="AM137" i="2"/>
  <c r="AM135" i="2"/>
  <c r="AM98" i="2"/>
  <c r="AM66" i="2"/>
  <c r="P131" i="2"/>
  <c r="BK134" i="2"/>
  <c r="AA145" i="2"/>
  <c r="AM115" i="2"/>
  <c r="AJ112" i="2"/>
  <c r="AB115" i="2"/>
  <c r="J124" i="2"/>
  <c r="J125" i="2" s="1"/>
  <c r="J126" i="2" s="1"/>
  <c r="AJ131" i="2"/>
  <c r="B134" i="2"/>
  <c r="S134" i="2"/>
  <c r="BF135" i="2"/>
  <c r="K124" i="2"/>
  <c r="K125" i="2" s="1"/>
  <c r="X125" i="2"/>
  <c r="BH126" i="2"/>
  <c r="C131" i="2"/>
  <c r="AY134" i="2"/>
  <c r="F147" i="2"/>
  <c r="F151" i="2" s="1"/>
  <c r="BE138" i="2"/>
  <c r="R93" i="2"/>
  <c r="AD93" i="2"/>
  <c r="W125" i="2"/>
  <c r="D131" i="2"/>
  <c r="AZ131" i="2"/>
  <c r="N141" i="2"/>
  <c r="N143" i="2" s="1"/>
  <c r="R145" i="2"/>
  <c r="S93" i="2"/>
  <c r="AE93" i="2"/>
  <c r="K131" i="2"/>
  <c r="W131" i="2"/>
  <c r="AI131" i="2"/>
  <c r="BG131" i="2"/>
  <c r="AH135" i="2"/>
  <c r="O141" i="2"/>
  <c r="O143" i="2" s="1"/>
  <c r="H143" i="2"/>
  <c r="T143" i="2"/>
  <c r="AF143" i="2"/>
  <c r="BD143" i="2"/>
  <c r="BP143" i="2"/>
  <c r="BP147" i="2" s="1"/>
  <c r="B138" i="2"/>
  <c r="J78" i="2"/>
  <c r="T93" i="2"/>
  <c r="AF93" i="2"/>
  <c r="AJ133" i="2"/>
  <c r="AK105" i="2"/>
  <c r="AK133" i="2" s="1"/>
  <c r="W116" i="2"/>
  <c r="AH138" i="2"/>
  <c r="I143" i="2"/>
  <c r="U143" i="2"/>
  <c r="AG143" i="2"/>
  <c r="BE143" i="2"/>
  <c r="BB145" i="2"/>
  <c r="BC147" i="2"/>
  <c r="O138" i="2"/>
  <c r="D138" i="2"/>
  <c r="P138" i="2"/>
  <c r="AK42" i="2"/>
  <c r="AM32" i="2"/>
  <c r="AN113" i="2"/>
  <c r="BJ138" i="2"/>
  <c r="R138" i="2"/>
  <c r="AD138" i="2"/>
  <c r="BA47" i="2"/>
  <c r="U24" i="1"/>
  <c r="BM12" i="1"/>
  <c r="F67" i="1"/>
  <c r="F78" i="1" s="1"/>
  <c r="F79" i="1" s="1"/>
  <c r="AD23" i="1"/>
  <c r="J138" i="2"/>
  <c r="G72" i="1"/>
  <c r="AK111" i="2"/>
  <c r="AK112" i="2" s="1"/>
  <c r="BP12" i="1"/>
  <c r="BP14" i="1" s="1"/>
  <c r="BF47" i="2"/>
  <c r="V13" i="1"/>
  <c r="J25" i="1"/>
  <c r="V67" i="1"/>
  <c r="V68" i="1" s="1"/>
  <c r="F14" i="1"/>
  <c r="BB12" i="1"/>
  <c r="BM14" i="1"/>
  <c r="DP27" i="11"/>
  <c r="DT27" i="11" s="1"/>
  <c r="DX27" i="11" s="1"/>
  <c r="EB27" i="11" s="1"/>
  <c r="EF27" i="11" s="1"/>
  <c r="EJ27" i="11" s="1"/>
  <c r="AD27" i="11"/>
  <c r="AG28" i="11"/>
  <c r="AG27" i="11" s="1"/>
  <c r="AC74" i="1"/>
  <c r="C138" i="2"/>
  <c r="AO4" i="1"/>
  <c r="AF41" i="1"/>
  <c r="T27" i="1"/>
  <c r="T28" i="1" s="1"/>
  <c r="BD27" i="1"/>
  <c r="BD28" i="1" s="1"/>
  <c r="BP23" i="1"/>
  <c r="AE27" i="11"/>
  <c r="AI72" i="1"/>
  <c r="C5" i="1"/>
  <c r="BM3" i="1"/>
  <c r="BM138" i="2" s="1"/>
  <c r="G5" i="1"/>
  <c r="X23" i="1"/>
  <c r="AI28" i="11"/>
  <c r="AI27" i="11" s="1"/>
  <c r="W50" i="1"/>
  <c r="AJ28" i="11"/>
  <c r="AJ27" i="11" s="1"/>
  <c r="J74" i="1"/>
  <c r="K25" i="1"/>
  <c r="BP28" i="11"/>
  <c r="V41" i="1"/>
  <c r="BG47" i="2"/>
  <c r="AC25" i="1"/>
  <c r="BQ28" i="11"/>
  <c r="DN27" i="11"/>
  <c r="AX72" i="1"/>
  <c r="BJ73" i="1"/>
  <c r="BJ75" i="1" s="1"/>
  <c r="BS28" i="11"/>
  <c r="W5" i="1"/>
  <c r="AI4" i="1"/>
  <c r="BE4" i="1"/>
  <c r="C27" i="1"/>
  <c r="C28" i="1" s="1"/>
  <c r="AY24" i="1"/>
  <c r="BK27" i="1"/>
  <c r="BK28" i="1" s="1"/>
  <c r="BT28" i="11"/>
  <c r="AI74" i="1"/>
  <c r="DO27" i="11"/>
  <c r="AK67" i="1"/>
  <c r="AK78" i="1" s="1"/>
  <c r="I73" i="1"/>
  <c r="AO5" i="1"/>
  <c r="AI40" i="1"/>
  <c r="BK73" i="1"/>
  <c r="BK75" i="1" s="1"/>
  <c r="AE1" i="1"/>
  <c r="BS3" i="1"/>
  <c r="AI5" i="1"/>
  <c r="AA39" i="1"/>
  <c r="AI39" i="1"/>
  <c r="L12" i="1"/>
  <c r="AJ12" i="1"/>
  <c r="BH82" i="1"/>
  <c r="AD74" i="1"/>
  <c r="AL13" i="1"/>
  <c r="AA40" i="1"/>
  <c r="F138" i="2"/>
  <c r="N5" i="1"/>
  <c r="AE24" i="1"/>
  <c r="BC24" i="1"/>
  <c r="BF73" i="1"/>
  <c r="BF75" i="1" s="1"/>
  <c r="R5" i="1"/>
  <c r="AY73" i="1"/>
  <c r="AD27" i="1"/>
  <c r="AD28" i="1" s="1"/>
  <c r="AF27" i="11"/>
  <c r="AL27" i="1"/>
  <c r="AL28" i="1" s="1"/>
  <c r="BE72" i="1"/>
  <c r="AI138" i="2"/>
  <c r="P13" i="1"/>
  <c r="AB13" i="1"/>
  <c r="AY12" i="1"/>
  <c r="AC13" i="1"/>
  <c r="I67" i="1"/>
  <c r="U67" i="1"/>
  <c r="U68" i="1" s="1"/>
  <c r="AG25" i="1"/>
  <c r="BE24" i="1"/>
  <c r="U23" i="1"/>
  <c r="D82" i="1"/>
  <c r="AZ82" i="1"/>
  <c r="BL82" i="1"/>
  <c r="AN27" i="11"/>
  <c r="AZ27" i="11" s="1"/>
  <c r="BL27" i="11" s="1"/>
  <c r="BX27" i="11" s="1"/>
  <c r="CJ27" i="11" s="1"/>
  <c r="CV27" i="11" s="1"/>
  <c r="AL72" i="1"/>
  <c r="AK23" i="1"/>
  <c r="BX3" i="1"/>
  <c r="AM4" i="1"/>
  <c r="E67" i="1"/>
  <c r="E78" i="1" s="1"/>
  <c r="E79" i="1" s="1"/>
  <c r="Q23" i="1"/>
  <c r="AC12" i="1"/>
  <c r="BL12" i="1"/>
  <c r="BL14" i="1" s="1"/>
  <c r="AH67" i="1"/>
  <c r="V23" i="1"/>
  <c r="W40" i="1"/>
  <c r="AX73" i="1"/>
  <c r="BA82" i="1"/>
  <c r="AH27" i="11"/>
  <c r="AT27" i="11" s="1"/>
  <c r="BF27" i="11" s="1"/>
  <c r="BR27" i="11" s="1"/>
  <c r="CD27" i="11" s="1"/>
  <c r="CP27" i="11" s="1"/>
  <c r="AL82" i="1"/>
  <c r="AL28" i="11"/>
  <c r="BW28" i="11"/>
  <c r="R67" i="1"/>
  <c r="R68" i="1" s="1"/>
  <c r="AK12" i="1"/>
  <c r="E6" i="15" s="1"/>
  <c r="AJ5" i="1"/>
  <c r="S14" i="1"/>
  <c r="AE72" i="1"/>
  <c r="BB78" i="1"/>
  <c r="BB79" i="1" s="1"/>
  <c r="BN67" i="1"/>
  <c r="BN68" i="1" s="1"/>
  <c r="AM28" i="11"/>
  <c r="AN13" i="1"/>
  <c r="AK13" i="1"/>
  <c r="S5" i="1"/>
  <c r="AY4" i="1"/>
  <c r="BD4" i="1"/>
  <c r="BC82" i="1"/>
  <c r="D78" i="1"/>
  <c r="D84" i="1" s="1"/>
  <c r="BL73" i="1"/>
  <c r="BL75" i="1" s="1"/>
  <c r="AK27" i="11"/>
  <c r="AW27" i="11" s="1"/>
  <c r="BI27" i="11" s="1"/>
  <c r="BU27" i="11" s="1"/>
  <c r="CB28" i="11"/>
  <c r="AK14" i="1"/>
  <c r="M73" i="1"/>
  <c r="I5" i="1"/>
  <c r="AG13" i="1"/>
  <c r="F24" i="1"/>
  <c r="Z27" i="1"/>
  <c r="Z28" i="1" s="1"/>
  <c r="AX27" i="1"/>
  <c r="AX28" i="1" s="1"/>
  <c r="BJ27" i="1"/>
  <c r="BK29" i="1" s="1"/>
  <c r="BA73" i="1"/>
  <c r="BM73" i="1"/>
  <c r="BM75" i="1" s="1"/>
  <c r="U82" i="1"/>
  <c r="AR28" i="11"/>
  <c r="CC28" i="11"/>
  <c r="AM24" i="1"/>
  <c r="BE78" i="1"/>
  <c r="BE79" i="1" s="1"/>
  <c r="AA24" i="1"/>
  <c r="V82" i="1"/>
  <c r="DS27" i="11"/>
  <c r="DW27" i="11" s="1"/>
  <c r="EA27" i="11" s="1"/>
  <c r="EE27" i="11" s="1"/>
  <c r="EI27" i="11" s="1"/>
  <c r="EM27" i="11" s="1"/>
  <c r="AS28" i="11"/>
  <c r="S74" i="1"/>
  <c r="AX47" i="2"/>
  <c r="CC3" i="1"/>
  <c r="Z4" i="1"/>
  <c r="AG5" i="1"/>
  <c r="W14" i="1"/>
  <c r="BF12" i="1"/>
  <c r="BF14" i="1" s="1"/>
  <c r="AE25" i="1"/>
  <c r="C74" i="1"/>
  <c r="BC78" i="1"/>
  <c r="BC79" i="1" s="1"/>
  <c r="BK4" i="1"/>
  <c r="BK138" i="2"/>
  <c r="BK47" i="2"/>
  <c r="BF84" i="1"/>
  <c r="BF85" i="1" s="1"/>
  <c r="K74" i="1"/>
  <c r="S4" i="1"/>
  <c r="AB4" i="1"/>
  <c r="BC73" i="1"/>
  <c r="CD41" i="1"/>
  <c r="H14" i="1"/>
  <c r="T14" i="1"/>
  <c r="AF13" i="1"/>
  <c r="BO78" i="1"/>
  <c r="BO79" i="1" s="1"/>
  <c r="D25" i="1"/>
  <c r="AZ24" i="1"/>
  <c r="BL67" i="1"/>
  <c r="BL68" i="1" s="1"/>
  <c r="X24" i="1"/>
  <c r="X48" i="1"/>
  <c r="Y48" i="1" s="1"/>
  <c r="Z48" i="1" s="1"/>
  <c r="AA48" i="1" s="1"/>
  <c r="AB48" i="1" s="1"/>
  <c r="AC48" i="1" s="1"/>
  <c r="AC50" i="1" s="1"/>
  <c r="R82" i="1"/>
  <c r="CG28" i="11"/>
  <c r="X5" i="1"/>
  <c r="P5" i="1"/>
  <c r="BO73" i="1"/>
  <c r="BO75" i="1" s="1"/>
  <c r="F73" i="1"/>
  <c r="AB72" i="1"/>
  <c r="BO3" i="1"/>
  <c r="I12" i="1"/>
  <c r="U12" i="1"/>
  <c r="AG12" i="1"/>
  <c r="BD78" i="1"/>
  <c r="BP78" i="1"/>
  <c r="BP79" i="1" s="1"/>
  <c r="BN12" i="1"/>
  <c r="BN14" i="1" s="1"/>
  <c r="I14" i="1"/>
  <c r="E23" i="1"/>
  <c r="E68" i="1" s="1"/>
  <c r="Q27" i="1"/>
  <c r="Q28" i="1" s="1"/>
  <c r="BM27" i="1"/>
  <c r="BM28" i="1" s="1"/>
  <c r="AJ23" i="1"/>
  <c r="B27" i="1"/>
  <c r="AH27" i="1"/>
  <c r="AB41" i="1"/>
  <c r="Q67" i="1"/>
  <c r="D72" i="1"/>
  <c r="BP72" i="1"/>
  <c r="AU28" i="11"/>
  <c r="CH28" i="11"/>
  <c r="C79" i="1"/>
  <c r="AL4" i="1"/>
  <c r="AD39" i="1"/>
  <c r="BN72" i="1"/>
  <c r="N138" i="2"/>
  <c r="BP3" i="1"/>
  <c r="CA3" i="1"/>
  <c r="CA4" i="1" s="1"/>
  <c r="R4" i="1"/>
  <c r="AX8" i="1"/>
  <c r="J82" i="1"/>
  <c r="AH82" i="1"/>
  <c r="BE12" i="1"/>
  <c r="BE14" i="1" s="1"/>
  <c r="BO12" i="1"/>
  <c r="BO14" i="1" s="1"/>
  <c r="AY23" i="1"/>
  <c r="BB72" i="1"/>
  <c r="DI27" i="11"/>
  <c r="DM27" i="11" s="1"/>
  <c r="DQ27" i="11" s="1"/>
  <c r="DU27" i="11" s="1"/>
  <c r="DY27" i="11" s="1"/>
  <c r="EC27" i="11" s="1"/>
  <c r="EG27" i="11" s="1"/>
  <c r="EK27" i="11" s="1"/>
  <c r="AV28" i="11"/>
  <c r="CI28" i="11"/>
  <c r="AC23" i="1"/>
  <c r="BY4" i="1"/>
  <c r="AK41" i="1"/>
  <c r="Y5" i="1"/>
  <c r="CB40" i="1"/>
  <c r="K12" i="1"/>
  <c r="Q12" i="1"/>
  <c r="S24" i="1"/>
  <c r="BB23" i="1"/>
  <c r="AD24" i="1"/>
  <c r="BB28" i="1"/>
  <c r="F82" i="1"/>
  <c r="C25" i="1"/>
  <c r="E82" i="1"/>
  <c r="AD40" i="1"/>
  <c r="AJ4" i="1"/>
  <c r="V4" i="1"/>
  <c r="AF4" i="1"/>
  <c r="AG73" i="1"/>
  <c r="BQ3" i="1"/>
  <c r="BG12" i="1"/>
  <c r="BG14" i="1" s="1"/>
  <c r="V12" i="1"/>
  <c r="H25" i="1"/>
  <c r="AF25" i="1"/>
  <c r="BJ23" i="1"/>
  <c r="BB67" i="1"/>
  <c r="BB68" i="1" s="1"/>
  <c r="BG72" i="1"/>
  <c r="BL72" i="1"/>
  <c r="AX28" i="11"/>
  <c r="BJ28" i="11"/>
  <c r="CL28" i="11"/>
  <c r="CB39" i="1"/>
  <c r="AC72" i="1"/>
  <c r="X5" i="8"/>
  <c r="X4" i="1"/>
  <c r="D5" i="1"/>
  <c r="F72" i="1"/>
  <c r="AL67" i="1"/>
  <c r="V138" i="2"/>
  <c r="N4" i="1"/>
  <c r="I78" i="1"/>
  <c r="U27" i="1"/>
  <c r="U28" i="1" s="1"/>
  <c r="F23" i="1"/>
  <c r="F68" i="1" s="1"/>
  <c r="BK23" i="1"/>
  <c r="BC67" i="1"/>
  <c r="BC68" i="1" s="1"/>
  <c r="BH72" i="1"/>
  <c r="BM72" i="1"/>
  <c r="AI82" i="1"/>
  <c r="BG82" i="1"/>
  <c r="AY28" i="11"/>
  <c r="BK28" i="11"/>
  <c r="AN67" i="1"/>
  <c r="Q72" i="1"/>
  <c r="AK73" i="1"/>
  <c r="CB41" i="1"/>
  <c r="BL3" i="1"/>
  <c r="AK40" i="1"/>
  <c r="H4" i="1"/>
  <c r="CD3" i="1"/>
  <c r="J4" i="1"/>
  <c r="AH12" i="1"/>
  <c r="J27" i="1"/>
  <c r="J28" i="1" s="1"/>
  <c r="V27" i="1"/>
  <c r="V28" i="1" s="1"/>
  <c r="H23" i="1"/>
  <c r="H68" i="1" s="1"/>
  <c r="BM23" i="1"/>
  <c r="BD24" i="1"/>
  <c r="R28" i="1"/>
  <c r="BL27" i="1"/>
  <c r="BG67" i="1"/>
  <c r="BG68" i="1" s="1"/>
  <c r="L82" i="1"/>
  <c r="X82" i="1"/>
  <c r="AJ82" i="1"/>
  <c r="AD13" i="1"/>
  <c r="AE40" i="1"/>
  <c r="Q82" i="1"/>
  <c r="AN23" i="1"/>
  <c r="AL25" i="1"/>
  <c r="CB14" i="1"/>
  <c r="AL23" i="1"/>
  <c r="AY47" i="2"/>
  <c r="BG138" i="2"/>
  <c r="BU3" i="1"/>
  <c r="F4" i="1"/>
  <c r="W41" i="1"/>
  <c r="AJ41" i="1"/>
  <c r="R13" i="1"/>
  <c r="CC14" i="1"/>
  <c r="BN23" i="1"/>
  <c r="BM67" i="1"/>
  <c r="BM68" i="1" s="1"/>
  <c r="Y82" i="1"/>
  <c r="N28" i="11"/>
  <c r="N27" i="11" s="1"/>
  <c r="Z28" i="11"/>
  <c r="AD72" i="1"/>
  <c r="X40" i="1"/>
  <c r="AL74" i="1"/>
  <c r="BK78" i="1"/>
  <c r="BA12" i="1"/>
  <c r="O28" i="11"/>
  <c r="O27" i="11" s="1"/>
  <c r="AA28" i="11"/>
  <c r="CT28" i="11"/>
  <c r="AD73" i="1"/>
  <c r="X39" i="1"/>
  <c r="BA72" i="1"/>
  <c r="AM23" i="1"/>
  <c r="AM25" i="1"/>
  <c r="H72" i="1"/>
  <c r="I74" i="1"/>
  <c r="H73" i="1"/>
  <c r="H74" i="1"/>
  <c r="AN25" i="1"/>
  <c r="AN72" i="1"/>
  <c r="AN73" i="1"/>
  <c r="AM68" i="1"/>
  <c r="BS4" i="1"/>
  <c r="AC5" i="1"/>
  <c r="AC4" i="1"/>
  <c r="AD5" i="1"/>
  <c r="AF73" i="1"/>
  <c r="AG74" i="1"/>
  <c r="AJ73" i="1"/>
  <c r="AF72" i="1"/>
  <c r="AF74" i="1"/>
  <c r="U74" i="1"/>
  <c r="U73" i="1"/>
  <c r="U72" i="1"/>
  <c r="L72" i="1"/>
  <c r="M74" i="1"/>
  <c r="S72" i="1"/>
  <c r="W73" i="1"/>
  <c r="AH73" i="1"/>
  <c r="AH74" i="1"/>
  <c r="AL73" i="1"/>
  <c r="AH72" i="1"/>
  <c r="R73" i="1"/>
  <c r="R72" i="1"/>
  <c r="R74" i="1"/>
  <c r="M4" i="1"/>
  <c r="K4" i="1"/>
  <c r="D74" i="1"/>
  <c r="C72" i="1"/>
  <c r="BW3" i="1"/>
  <c r="BX4" i="1" s="1"/>
  <c r="BV3" i="1"/>
  <c r="AZ4" i="1"/>
  <c r="T74" i="1"/>
  <c r="AG4" i="1"/>
  <c r="BA4" i="1"/>
  <c r="AH68" i="1"/>
  <c r="AH78" i="1"/>
  <c r="C8" i="1"/>
  <c r="D1" i="1"/>
  <c r="AF1" i="1"/>
  <c r="AE8" i="1"/>
  <c r="F5" i="1"/>
  <c r="E138" i="2"/>
  <c r="O5" i="1"/>
  <c r="O4" i="1"/>
  <c r="AH4" i="1"/>
  <c r="AH5" i="1"/>
  <c r="AC14" i="1"/>
  <c r="G73" i="1"/>
  <c r="K82" i="1"/>
  <c r="K13" i="1"/>
  <c r="K67" i="1"/>
  <c r="K78" i="1" s="1"/>
  <c r="L14" i="1"/>
  <c r="K14" i="1"/>
  <c r="W12" i="1"/>
  <c r="AH14" i="1"/>
  <c r="X13" i="1"/>
  <c r="AE14" i="1"/>
  <c r="W13" i="1"/>
  <c r="AD14" i="1"/>
  <c r="M5" i="1"/>
  <c r="Q138" i="2"/>
  <c r="Q4" i="1"/>
  <c r="Q5" i="1"/>
  <c r="Z5" i="1"/>
  <c r="AD4" i="1"/>
  <c r="AM40" i="1"/>
  <c r="AM39" i="1"/>
  <c r="L13" i="1"/>
  <c r="M67" i="1"/>
  <c r="M78" i="1" s="1"/>
  <c r="M23" i="1"/>
  <c r="M68" i="1" s="1"/>
  <c r="Q24" i="1"/>
  <c r="M25" i="1"/>
  <c r="Y27" i="1"/>
  <c r="Y25" i="1"/>
  <c r="Z25" i="1"/>
  <c r="Y24" i="1"/>
  <c r="Y23" i="1"/>
  <c r="Y67" i="1"/>
  <c r="AW27" i="1"/>
  <c r="AX24" i="1"/>
  <c r="BI67" i="1"/>
  <c r="BI68" i="1" s="1"/>
  <c r="BI27" i="1"/>
  <c r="BJ24" i="1"/>
  <c r="BI24" i="1"/>
  <c r="BI23" i="1"/>
  <c r="N74" i="1"/>
  <c r="AK74" i="1"/>
  <c r="W4" i="1"/>
  <c r="BM61" i="1"/>
  <c r="M24" i="1"/>
  <c r="W82" i="1"/>
  <c r="E5" i="1"/>
  <c r="Z138" i="2"/>
  <c r="BR3" i="1"/>
  <c r="CB3" i="1"/>
  <c r="BF138" i="2"/>
  <c r="BG4" i="1"/>
  <c r="BF4" i="1"/>
  <c r="B72" i="1"/>
  <c r="E14" i="1"/>
  <c r="B23" i="1"/>
  <c r="B68" i="1" s="1"/>
  <c r="F12" i="1"/>
  <c r="B14" i="1"/>
  <c r="Q14" i="1"/>
  <c r="N23" i="1"/>
  <c r="R12" i="1"/>
  <c r="N14" i="1"/>
  <c r="N12" i="1"/>
  <c r="Z13" i="1"/>
  <c r="Z23" i="1"/>
  <c r="Z14" i="1"/>
  <c r="AW78" i="1"/>
  <c r="AW72" i="1"/>
  <c r="BI78" i="1"/>
  <c r="BI12" i="1"/>
  <c r="BI14" i="1" s="1"/>
  <c r="Z12" i="1"/>
  <c r="J14" i="1"/>
  <c r="O67" i="1"/>
  <c r="AA23" i="1"/>
  <c r="AZ73" i="1"/>
  <c r="AZ72" i="1"/>
  <c r="AZ1" i="1"/>
  <c r="AY8" i="1"/>
  <c r="I4" i="1"/>
  <c r="C13" i="1"/>
  <c r="C23" i="1"/>
  <c r="C68" i="1" s="1"/>
  <c r="G12" i="1"/>
  <c r="C14" i="1"/>
  <c r="C82" i="1"/>
  <c r="D13" i="1"/>
  <c r="O13" i="1"/>
  <c r="O23" i="1"/>
  <c r="S12" i="1"/>
  <c r="O14" i="1"/>
  <c r="O12" i="1"/>
  <c r="AA13" i="1"/>
  <c r="AA14" i="1"/>
  <c r="AA82" i="1"/>
  <c r="AA67" i="1"/>
  <c r="AX78" i="1"/>
  <c r="AX12" i="1"/>
  <c r="AX82" i="1"/>
  <c r="AX67" i="1"/>
  <c r="AX68" i="1" s="1"/>
  <c r="AX69" i="1" s="1"/>
  <c r="AX23" i="1"/>
  <c r="BJ78" i="1"/>
  <c r="BJ82" i="1"/>
  <c r="BJ12" i="1"/>
  <c r="BJ14" i="1" s="1"/>
  <c r="BJ67" i="1"/>
  <c r="BJ68" i="1" s="1"/>
  <c r="AA12" i="1"/>
  <c r="BT3" i="1"/>
  <c r="BI138" i="2"/>
  <c r="BI4" i="1"/>
  <c r="BI47" i="2"/>
  <c r="BX40" i="1"/>
  <c r="BX41" i="1"/>
  <c r="N13" i="1"/>
  <c r="X14" i="1"/>
  <c r="AW23" i="1"/>
  <c r="V39" i="1"/>
  <c r="M12" i="1"/>
  <c r="Y12" i="1"/>
  <c r="J12" i="1"/>
  <c r="X12" i="1"/>
  <c r="AZ12" i="1"/>
  <c r="G14" i="1"/>
  <c r="V14" i="1"/>
  <c r="AJ14" i="1"/>
  <c r="L67" i="1"/>
  <c r="L25" i="1"/>
  <c r="X67" i="1"/>
  <c r="X25" i="1"/>
  <c r="AJ67" i="1"/>
  <c r="AJ25" i="1"/>
  <c r="BH24" i="1"/>
  <c r="BH27" i="1"/>
  <c r="T23" i="1"/>
  <c r="AH23" i="1"/>
  <c r="L24" i="1"/>
  <c r="Z24" i="1"/>
  <c r="AA25" i="1"/>
  <c r="S67" i="1"/>
  <c r="AZ67" i="1"/>
  <c r="AZ68" i="1" s="1"/>
  <c r="AY72" i="1"/>
  <c r="AY78" i="1"/>
  <c r="AY82" i="1"/>
  <c r="BK82" i="1"/>
  <c r="BF82" i="1"/>
  <c r="BB4" i="1"/>
  <c r="BC4" i="1"/>
  <c r="D14" i="1"/>
  <c r="P14" i="1"/>
  <c r="AB14" i="1"/>
  <c r="AB12" i="1"/>
  <c r="BC12" i="1"/>
  <c r="Q13" i="1"/>
  <c r="Y14" i="1"/>
  <c r="AY67" i="1"/>
  <c r="AY68" i="1" s="1"/>
  <c r="BK67" i="1"/>
  <c r="BK68" i="1" s="1"/>
  <c r="I23" i="1"/>
  <c r="I68" i="1" s="1"/>
  <c r="BL23" i="1"/>
  <c r="O24" i="1"/>
  <c r="AI27" i="1"/>
  <c r="BP27" i="1"/>
  <c r="AH41" i="1"/>
  <c r="BD67" i="1"/>
  <c r="BD68" i="1" s="1"/>
  <c r="BM82" i="1"/>
  <c r="P25" i="1"/>
  <c r="P24" i="1"/>
  <c r="AB25" i="1"/>
  <c r="AB24" i="1"/>
  <c r="J23" i="1"/>
  <c r="J68" i="1" s="1"/>
  <c r="AL44" i="1"/>
  <c r="AK47" i="1"/>
  <c r="BO82" i="1"/>
  <c r="AL24" i="1"/>
  <c r="AK4" i="1"/>
  <c r="BA78" i="1"/>
  <c r="P12" i="1"/>
  <c r="AD12" i="1"/>
  <c r="E13" i="1"/>
  <c r="T13" i="1"/>
  <c r="AH13" i="1"/>
  <c r="M14" i="1"/>
  <c r="E27" i="1"/>
  <c r="I29" i="1" s="1"/>
  <c r="AC67" i="1"/>
  <c r="BA27" i="1"/>
  <c r="BA67" i="1"/>
  <c r="BA68" i="1" s="1"/>
  <c r="BA24" i="1"/>
  <c r="L23" i="1"/>
  <c r="L68" i="1" s="1"/>
  <c r="AZ23" i="1"/>
  <c r="AG24" i="1"/>
  <c r="BK24" i="1"/>
  <c r="AH25" i="1"/>
  <c r="AY27" i="1"/>
  <c r="AB67" i="1"/>
  <c r="BH67" i="1"/>
  <c r="BH68" i="1" s="1"/>
  <c r="E74" i="1"/>
  <c r="E72" i="1"/>
  <c r="BM78" i="1"/>
  <c r="BL78" i="1"/>
  <c r="H82" i="1"/>
  <c r="T82" i="1"/>
  <c r="AF82" i="1"/>
  <c r="BD82" i="1"/>
  <c r="BP82" i="1"/>
  <c r="AB40" i="1"/>
  <c r="CC73" i="1"/>
  <c r="CC41" i="1"/>
  <c r="CC39" i="1"/>
  <c r="G82" i="1"/>
  <c r="G13" i="1"/>
  <c r="S82" i="1"/>
  <c r="S13" i="1"/>
  <c r="AE82" i="1"/>
  <c r="AE13" i="1"/>
  <c r="BN78" i="1"/>
  <c r="AE12" i="1"/>
  <c r="F13" i="1"/>
  <c r="U13" i="1"/>
  <c r="AI13" i="1"/>
  <c r="BA23" i="1"/>
  <c r="AH24" i="1"/>
  <c r="BL24" i="1"/>
  <c r="Q25" i="1"/>
  <c r="AZ27" i="1"/>
  <c r="J67" i="1"/>
  <c r="J78" i="1" s="1"/>
  <c r="AD67" i="1"/>
  <c r="BD72" i="1"/>
  <c r="BE82" i="1"/>
  <c r="AF14" i="1"/>
  <c r="AF12" i="1"/>
  <c r="H13" i="1"/>
  <c r="AJ13" i="1"/>
  <c r="G27" i="1"/>
  <c r="G67" i="1"/>
  <c r="G78" i="1" s="1"/>
  <c r="G23" i="1"/>
  <c r="G68" i="1" s="1"/>
  <c r="S27" i="1"/>
  <c r="S23" i="1"/>
  <c r="AE27" i="1"/>
  <c r="AE23" i="1"/>
  <c r="BC27" i="1"/>
  <c r="BC23" i="1"/>
  <c r="BO27" i="1"/>
  <c r="BO23" i="1"/>
  <c r="AB23" i="1"/>
  <c r="AI24" i="1"/>
  <c r="BM24" i="1"/>
  <c r="S25" i="1"/>
  <c r="AE67" i="1"/>
  <c r="BH73" i="1"/>
  <c r="BH75" i="1" s="1"/>
  <c r="AM138" i="2"/>
  <c r="AN5" i="1"/>
  <c r="I13" i="1"/>
  <c r="H67" i="1"/>
  <c r="H78" i="1" s="1"/>
  <c r="H24" i="1"/>
  <c r="T67" i="1"/>
  <c r="T24" i="1"/>
  <c r="T25" i="1"/>
  <c r="AF67" i="1"/>
  <c r="AF24" i="1"/>
  <c r="BP67" i="1"/>
  <c r="BP68" i="1" s="1"/>
  <c r="BD23" i="1"/>
  <c r="G24" i="1"/>
  <c r="V24" i="1"/>
  <c r="AJ24" i="1"/>
  <c r="BO24" i="1"/>
  <c r="U25" i="1"/>
  <c r="D27" i="1"/>
  <c r="R30" i="1"/>
  <c r="AG67" i="1"/>
  <c r="BP73" i="1"/>
  <c r="BP75" i="1" s="1"/>
  <c r="I82" i="1"/>
  <c r="AN14" i="1"/>
  <c r="T12" i="1"/>
  <c r="AI12" i="1"/>
  <c r="BK12" i="1"/>
  <c r="BK14" i="1" s="1"/>
  <c r="J13" i="1"/>
  <c r="R14" i="1"/>
  <c r="AG14" i="1"/>
  <c r="I25" i="1"/>
  <c r="BE67" i="1"/>
  <c r="BE68" i="1" s="1"/>
  <c r="P23" i="1"/>
  <c r="BE23" i="1"/>
  <c r="I24" i="1"/>
  <c r="W24" i="1"/>
  <c r="BP24" i="1"/>
  <c r="V25" i="1"/>
  <c r="H27" i="1"/>
  <c r="I30" i="1" s="1"/>
  <c r="BE27" i="1"/>
  <c r="W46" i="1"/>
  <c r="X45" i="1"/>
  <c r="P67" i="1"/>
  <c r="BF24" i="1"/>
  <c r="BF67" i="1"/>
  <c r="BF68" i="1" s="1"/>
  <c r="AF23" i="1"/>
  <c r="BF23" i="1"/>
  <c r="J24" i="1"/>
  <c r="E25" i="1"/>
  <c r="W25" i="1"/>
  <c r="I28" i="1"/>
  <c r="BF27" i="1"/>
  <c r="AI67" i="1"/>
  <c r="BO67" i="1"/>
  <c r="BO68" i="1" s="1"/>
  <c r="BO69" i="1" s="1"/>
  <c r="AW82" i="1"/>
  <c r="BI82" i="1"/>
  <c r="BF72" i="1"/>
  <c r="BB47" i="2"/>
  <c r="BJ4" i="1"/>
  <c r="BG78" i="1"/>
  <c r="H12" i="1"/>
  <c r="U14" i="1"/>
  <c r="AI14" i="1"/>
  <c r="K23" i="1"/>
  <c r="K68" i="1" s="1"/>
  <c r="W23" i="1"/>
  <c r="W67" i="1"/>
  <c r="AI23" i="1"/>
  <c r="AI25" i="1"/>
  <c r="BG24" i="1"/>
  <c r="BG23" i="1"/>
  <c r="D23" i="1"/>
  <c r="D68" i="1" s="1"/>
  <c r="R23" i="1"/>
  <c r="AG23" i="1"/>
  <c r="BH23" i="1"/>
  <c r="K24" i="1"/>
  <c r="G25" i="1"/>
  <c r="BG27" i="1"/>
  <c r="AF40" i="1"/>
  <c r="B82" i="1"/>
  <c r="N82" i="1"/>
  <c r="Z82" i="1"/>
  <c r="AQ28" i="11"/>
  <c r="AP28" i="11"/>
  <c r="AO28" i="11"/>
  <c r="AO27" i="11" s="1"/>
  <c r="BA27" i="11" s="1"/>
  <c r="BM27" i="11" s="1"/>
  <c r="CA28" i="11"/>
  <c r="BZ28" i="11"/>
  <c r="BY28" i="11"/>
  <c r="AN12" i="1"/>
  <c r="AM14" i="1"/>
  <c r="BH78" i="1"/>
  <c r="B67" i="1"/>
  <c r="B78" i="1" s="1"/>
  <c r="Z67" i="1"/>
  <c r="BO72" i="1"/>
  <c r="BB82" i="1"/>
  <c r="BN82" i="1"/>
  <c r="BR116" i="1"/>
  <c r="BR117" i="1" s="1"/>
  <c r="AN4" i="1"/>
  <c r="DR27" i="11"/>
  <c r="DV27" i="11" s="1"/>
  <c r="DZ27" i="11" s="1"/>
  <c r="ED27" i="11" s="1"/>
  <c r="EH27" i="11" s="1"/>
  <c r="EL27" i="11" s="1"/>
  <c r="AZ78" i="1"/>
  <c r="F25" i="1"/>
  <c r="R25" i="1"/>
  <c r="AD25" i="1"/>
  <c r="BB24" i="1"/>
  <c r="BN24" i="1"/>
  <c r="F27" i="1"/>
  <c r="BN27" i="1"/>
  <c r="CS28" i="11"/>
  <c r="CK28" i="11"/>
  <c r="AL14" i="1"/>
  <c r="CQ28" i="11"/>
  <c r="D29" i="13"/>
  <c r="F29" i="13"/>
  <c r="E29" i="13"/>
  <c r="C29" i="13"/>
  <c r="C26" i="13"/>
  <c r="BR45" i="2"/>
  <c r="BQ45" i="2"/>
  <c r="BP45" i="2"/>
  <c r="AX59" i="1" l="1"/>
  <c r="AX61" i="1" s="1"/>
  <c r="B54" i="1"/>
  <c r="C56" i="1" s="1"/>
  <c r="BZ59" i="1"/>
  <c r="BZ61" i="1" s="1"/>
  <c r="AQ61" i="1"/>
  <c r="AD59" i="1"/>
  <c r="AD61" i="1" s="1"/>
  <c r="B59" i="1"/>
  <c r="B61" i="1" s="1"/>
  <c r="AY54" i="1"/>
  <c r="AY56" i="1" s="1"/>
  <c r="AY59" i="1"/>
  <c r="AY61" i="1" s="1"/>
  <c r="AC59" i="1"/>
  <c r="AC61" i="1" s="1"/>
  <c r="AR61" i="1"/>
  <c r="AP61" i="1"/>
  <c r="AO59" i="1"/>
  <c r="AO61" i="1" s="1"/>
  <c r="AX54" i="1"/>
  <c r="AX56" i="1" s="1"/>
  <c r="AS61" i="1"/>
  <c r="L125" i="12"/>
  <c r="BN4" i="1"/>
  <c r="BM47" i="2"/>
  <c r="V43" i="2"/>
  <c r="V114" i="2"/>
  <c r="V163" i="2" s="1"/>
  <c r="V97" i="2"/>
  <c r="V31" i="2"/>
  <c r="V165" i="2"/>
  <c r="V161" i="2"/>
  <c r="O27" i="1"/>
  <c r="O30" i="1" s="1"/>
  <c r="AY49" i="2"/>
  <c r="I155" i="2"/>
  <c r="AR27" i="11"/>
  <c r="BD27" i="11" s="1"/>
  <c r="O25" i="1"/>
  <c r="AA27" i="11"/>
  <c r="AM27" i="11" s="1"/>
  <c r="AY27" i="11" s="1"/>
  <c r="BK27" i="11" s="1"/>
  <c r="BW27" i="11" s="1"/>
  <c r="CI27" i="11" s="1"/>
  <c r="CU27" i="11" s="1"/>
  <c r="AD146" i="2"/>
  <c r="AD41" i="2" s="1"/>
  <c r="N25" i="1"/>
  <c r="R24" i="1"/>
  <c r="J30" i="1"/>
  <c r="V73" i="1"/>
  <c r="Z147" i="2"/>
  <c r="Z151" i="2" s="1"/>
  <c r="BD156" i="2"/>
  <c r="M15" i="2"/>
  <c r="M23" i="2"/>
  <c r="V74" i="1"/>
  <c r="BH147" i="2"/>
  <c r="I158" i="2"/>
  <c r="I160" i="2" s="1"/>
  <c r="I162" i="2" s="1"/>
  <c r="I164" i="2" s="1"/>
  <c r="AY43" i="2"/>
  <c r="U15" i="2"/>
  <c r="AL145" i="2"/>
  <c r="AL147" i="2"/>
  <c r="AL151" i="2" s="1"/>
  <c r="BK145" i="2"/>
  <c r="BK147" i="2"/>
  <c r="U16" i="2"/>
  <c r="U34" i="2" s="1"/>
  <c r="BI157" i="2"/>
  <c r="BK156" i="2"/>
  <c r="AY37" i="2"/>
  <c r="BK91" i="2"/>
  <c r="AX91" i="2"/>
  <c r="N67" i="1"/>
  <c r="N27" i="1"/>
  <c r="AX145" i="2"/>
  <c r="C159" i="2"/>
  <c r="BG147" i="2"/>
  <c r="BF131" i="2"/>
  <c r="AY97" i="2"/>
  <c r="AY101" i="2" s="1"/>
  <c r="I114" i="2"/>
  <c r="I163" i="2" s="1"/>
  <c r="V16" i="2"/>
  <c r="V17" i="2" s="1"/>
  <c r="V25" i="2"/>
  <c r="BL157" i="2"/>
  <c r="AY157" i="2"/>
  <c r="AY158" i="2" s="1"/>
  <c r="AY160" i="2" s="1"/>
  <c r="AY162" i="2" s="1"/>
  <c r="AY164" i="2" s="1"/>
  <c r="V15" i="2"/>
  <c r="I97" i="2"/>
  <c r="AA28" i="1"/>
  <c r="AA30" i="1"/>
  <c r="BK159" i="2"/>
  <c r="BK157" i="2"/>
  <c r="BD159" i="2"/>
  <c r="I101" i="2"/>
  <c r="BJ131" i="2"/>
  <c r="W74" i="1"/>
  <c r="AH16" i="2"/>
  <c r="AH17" i="2" s="1"/>
  <c r="AJ30" i="1"/>
  <c r="V78" i="1"/>
  <c r="V79" i="1" s="1"/>
  <c r="BL131" i="2"/>
  <c r="BC131" i="2"/>
  <c r="BJ156" i="2"/>
  <c r="AH23" i="2"/>
  <c r="BA147" i="2"/>
  <c r="AG15" i="2"/>
  <c r="AA125" i="2"/>
  <c r="AA126" i="2" s="1"/>
  <c r="BJ157" i="2"/>
  <c r="AI145" i="2"/>
  <c r="AI146" i="2" s="1"/>
  <c r="AI41" i="2" s="1"/>
  <c r="AE147" i="2"/>
  <c r="AE151" i="2" s="1"/>
  <c r="AA116" i="2"/>
  <c r="BP91" i="2"/>
  <c r="BE84" i="1"/>
  <c r="W145" i="2"/>
  <c r="AC113" i="2"/>
  <c r="AC125" i="2" s="1"/>
  <c r="BA145" i="2"/>
  <c r="AK25" i="2"/>
  <c r="I28" i="2"/>
  <c r="AN23" i="2"/>
  <c r="AN15" i="2"/>
  <c r="BD29" i="1"/>
  <c r="AA74" i="1"/>
  <c r="N29" i="1"/>
  <c r="BM157" i="2"/>
  <c r="BL156" i="2"/>
  <c r="AJ74" i="1"/>
  <c r="I31" i="2"/>
  <c r="AG27" i="2"/>
  <c r="AG161" i="2" s="1"/>
  <c r="BC53" i="2"/>
  <c r="AD29" i="1"/>
  <c r="AB74" i="1"/>
  <c r="M147" i="2"/>
  <c r="M151" i="2" s="1"/>
  <c r="AX147" i="2"/>
  <c r="BM156" i="2"/>
  <c r="AC145" i="2"/>
  <c r="BL159" i="2"/>
  <c r="E91" i="2"/>
  <c r="I37" i="2"/>
  <c r="AE73" i="1"/>
  <c r="BJ159" i="2"/>
  <c r="Z73" i="1"/>
  <c r="BM159" i="2"/>
  <c r="BC54" i="2"/>
  <c r="AX16" i="2"/>
  <c r="AX17" i="2" s="1"/>
  <c r="BO147" i="2"/>
  <c r="BL91" i="2"/>
  <c r="BA157" i="2"/>
  <c r="AX15" i="2"/>
  <c r="AD27" i="2"/>
  <c r="AD25" i="2"/>
  <c r="BO159" i="2"/>
  <c r="L78" i="1"/>
  <c r="AM78" i="1"/>
  <c r="AM79" i="1" s="1"/>
  <c r="Y74" i="1"/>
  <c r="BP157" i="2"/>
  <c r="AZ156" i="2"/>
  <c r="BH157" i="2"/>
  <c r="AF133" i="2"/>
  <c r="AG105" i="2"/>
  <c r="AF106" i="2"/>
  <c r="AF107" i="2" s="1"/>
  <c r="AW34" i="2"/>
  <c r="AW17" i="2"/>
  <c r="P73" i="1"/>
  <c r="BD157" i="2"/>
  <c r="V146" i="2"/>
  <c r="V41" i="2" s="1"/>
  <c r="V101" i="2"/>
  <c r="BO91" i="2"/>
  <c r="AH145" i="2"/>
  <c r="AH147" i="2"/>
  <c r="AH151" i="2" s="1"/>
  <c r="AN74" i="1"/>
  <c r="T133" i="2"/>
  <c r="U105" i="2"/>
  <c r="T106" i="2"/>
  <c r="AX25" i="2"/>
  <c r="AX27" i="2"/>
  <c r="AN90" i="2"/>
  <c r="AN91" i="2" s="1"/>
  <c r="R78" i="1"/>
  <c r="R79" i="1" s="1"/>
  <c r="AK17" i="1"/>
  <c r="E8" i="15" s="1"/>
  <c r="Y72" i="1"/>
  <c r="BC157" i="2"/>
  <c r="BI159" i="2"/>
  <c r="BC91" i="2"/>
  <c r="Z16" i="2"/>
  <c r="Z15" i="2"/>
  <c r="Z23" i="2"/>
  <c r="AB15" i="2"/>
  <c r="AB23" i="2"/>
  <c r="V155" i="2"/>
  <c r="V158" i="2" s="1"/>
  <c r="V160" i="2" s="1"/>
  <c r="V162" i="2" s="1"/>
  <c r="V164" i="2" s="1"/>
  <c r="V38" i="2"/>
  <c r="V28" i="2"/>
  <c r="V37" i="2"/>
  <c r="AA15" i="2"/>
  <c r="AA23" i="2"/>
  <c r="AA16" i="2"/>
  <c r="AA17" i="2" s="1"/>
  <c r="Z74" i="1"/>
  <c r="AY156" i="2"/>
  <c r="BH131" i="2"/>
  <c r="C91" i="2"/>
  <c r="Y16" i="2"/>
  <c r="Y17" i="2" s="1"/>
  <c r="Y23" i="2"/>
  <c r="Y15" i="2"/>
  <c r="AA32" i="2"/>
  <c r="AA115" i="2"/>
  <c r="AZ157" i="2"/>
  <c r="AY38" i="2"/>
  <c r="AL16" i="2"/>
  <c r="AM34" i="2" s="1"/>
  <c r="AL15" i="2"/>
  <c r="AL23" i="2"/>
  <c r="AM73" i="1"/>
  <c r="G91" i="2"/>
  <c r="AY159" i="2"/>
  <c r="BC156" i="2"/>
  <c r="BI156" i="2"/>
  <c r="AW27" i="2"/>
  <c r="AW49" i="2" s="1"/>
  <c r="Q73" i="1"/>
  <c r="Q74" i="1"/>
  <c r="AG28" i="2"/>
  <c r="AG38" i="2"/>
  <c r="AG165" i="2"/>
  <c r="AG97" i="2"/>
  <c r="O79" i="2"/>
  <c r="O99" i="2"/>
  <c r="O93" i="2"/>
  <c r="AI17" i="2"/>
  <c r="N23" i="2"/>
  <c r="N15" i="2"/>
  <c r="N16" i="2"/>
  <c r="N17" i="2" s="1"/>
  <c r="K25" i="2"/>
  <c r="K27" i="2"/>
  <c r="AY131" i="2"/>
  <c r="G131" i="2"/>
  <c r="AC65" i="2"/>
  <c r="AC68" i="2" s="1"/>
  <c r="BH91" i="2"/>
  <c r="G157" i="2"/>
  <c r="S23" i="2"/>
  <c r="S16" i="2"/>
  <c r="S17" i="2" s="1"/>
  <c r="AY161" i="2"/>
  <c r="AY114" i="2"/>
  <c r="AY163" i="2" s="1"/>
  <c r="AE16" i="2"/>
  <c r="AE15" i="2"/>
  <c r="AE23" i="2"/>
  <c r="BC84" i="1"/>
  <c r="BC85" i="1" s="1"/>
  <c r="G156" i="2"/>
  <c r="Z146" i="2"/>
  <c r="Z41" i="2" s="1"/>
  <c r="AN133" i="2"/>
  <c r="AN135" i="2" s="1"/>
  <c r="AN104" i="2"/>
  <c r="BF34" i="2"/>
  <c r="BF17" i="2"/>
  <c r="AJ106" i="2"/>
  <c r="AI107" i="2"/>
  <c r="AM15" i="2"/>
  <c r="AM23" i="2"/>
  <c r="AE146" i="2"/>
  <c r="AE41" i="2" s="1"/>
  <c r="BL51" i="2"/>
  <c r="BJ147" i="2"/>
  <c r="BF27" i="2"/>
  <c r="BF25" i="2"/>
  <c r="BD69" i="1"/>
  <c r="S73" i="1"/>
  <c r="AM74" i="1"/>
  <c r="AJ126" i="2"/>
  <c r="AI126" i="2"/>
  <c r="BP156" i="2"/>
  <c r="AM147" i="2"/>
  <c r="AM151" i="2" s="1"/>
  <c r="T15" i="2"/>
  <c r="T23" i="2"/>
  <c r="T16" i="2"/>
  <c r="BO25" i="2"/>
  <c r="BO27" i="2"/>
  <c r="AI43" i="2"/>
  <c r="AI97" i="2"/>
  <c r="AI161" i="2"/>
  <c r="BJ28" i="1"/>
  <c r="BO131" i="2"/>
  <c r="BP159" i="2"/>
  <c r="AY91" i="2"/>
  <c r="AF28" i="1"/>
  <c r="AJ29" i="1"/>
  <c r="W28" i="1"/>
  <c r="W29" i="1"/>
  <c r="X28" i="1"/>
  <c r="X29" i="1"/>
  <c r="L30" i="1"/>
  <c r="AG137" i="2"/>
  <c r="AG81" i="1"/>
  <c r="AG98" i="2"/>
  <c r="AG66" i="2"/>
  <c r="AG68" i="2"/>
  <c r="AG16" i="2"/>
  <c r="D79" i="1"/>
  <c r="AA73" i="1"/>
  <c r="K73" i="1"/>
  <c r="AK138" i="2"/>
  <c r="AK135" i="2"/>
  <c r="AK134" i="2"/>
  <c r="O145" i="2"/>
  <c r="O146" i="2" s="1"/>
  <c r="O41" i="2" s="1"/>
  <c r="O147" i="2"/>
  <c r="O151" i="2" s="1"/>
  <c r="W126" i="2"/>
  <c r="AK113" i="2"/>
  <c r="AJ116" i="2"/>
  <c r="AJ115" i="2"/>
  <c r="AJ32" i="2"/>
  <c r="BO48" i="2"/>
  <c r="BO146" i="2"/>
  <c r="BO41" i="2" s="1"/>
  <c r="AJ16" i="2"/>
  <c r="AJ146" i="2" s="1"/>
  <c r="AJ41" i="2" s="1"/>
  <c r="AJ15" i="2"/>
  <c r="AJ23" i="2"/>
  <c r="J146" i="2"/>
  <c r="J41" i="2" s="1"/>
  <c r="AF16" i="2"/>
  <c r="AF23" i="2"/>
  <c r="AF15" i="2"/>
  <c r="AM146" i="2"/>
  <c r="AM41" i="2" s="1"/>
  <c r="AP27" i="11"/>
  <c r="BB27" i="11" s="1"/>
  <c r="BN27" i="11" s="1"/>
  <c r="BZ27" i="11" s="1"/>
  <c r="CL27" i="11" s="1"/>
  <c r="CX27" i="11" s="1"/>
  <c r="L29" i="1"/>
  <c r="F84" i="1"/>
  <c r="F85" i="1" s="1"/>
  <c r="BL29" i="1"/>
  <c r="Y73" i="1"/>
  <c r="AJ134" i="2"/>
  <c r="AJ135" i="2"/>
  <c r="AJ138" i="2"/>
  <c r="K126" i="2"/>
  <c r="AG115" i="2"/>
  <c r="AG116" i="2"/>
  <c r="AG125" i="2"/>
  <c r="AG32" i="2"/>
  <c r="AG114" i="2"/>
  <c r="AG163" i="2" s="1"/>
  <c r="AX54" i="2"/>
  <c r="O74" i="1"/>
  <c r="AE84" i="2"/>
  <c r="AE99" i="2" s="1"/>
  <c r="AF83" i="2"/>
  <c r="BE38" i="2"/>
  <c r="BE97" i="2"/>
  <c r="BE101" i="2" s="1"/>
  <c r="BE161" i="2"/>
  <c r="BE155" i="2"/>
  <c r="BE37" i="2"/>
  <c r="BE165" i="2"/>
  <c r="BE114" i="2"/>
  <c r="BE163" i="2" s="1"/>
  <c r="BE28" i="2"/>
  <c r="BE49" i="2"/>
  <c r="BE31" i="2"/>
  <c r="BE43" i="2"/>
  <c r="BD34" i="2"/>
  <c r="BD17" i="2"/>
  <c r="BE34" i="2"/>
  <c r="P81" i="1"/>
  <c r="P137" i="2"/>
  <c r="P98" i="2"/>
  <c r="P66" i="2"/>
  <c r="E15" i="2"/>
  <c r="E23" i="2"/>
  <c r="E16" i="2"/>
  <c r="E146" i="2" s="1"/>
  <c r="E41" i="2" s="1"/>
  <c r="G23" i="2"/>
  <c r="G16" i="2"/>
  <c r="G146" i="2" s="1"/>
  <c r="G41" i="2" s="1"/>
  <c r="G15" i="2"/>
  <c r="BP27" i="11"/>
  <c r="CB27" i="11" s="1"/>
  <c r="CN27" i="11" s="1"/>
  <c r="AX48" i="2"/>
  <c r="L16" i="2"/>
  <c r="L146" i="2" s="1"/>
  <c r="L41" i="2" s="1"/>
  <c r="L23" i="2"/>
  <c r="L15" i="2"/>
  <c r="AZ25" i="2"/>
  <c r="AZ27" i="2"/>
  <c r="E109" i="2"/>
  <c r="E140" i="2"/>
  <c r="E154" i="2"/>
  <c r="E44" i="2"/>
  <c r="E96" i="2"/>
  <c r="E55" i="2"/>
  <c r="F2" i="2"/>
  <c r="E1" i="2"/>
  <c r="J29" i="1"/>
  <c r="AQ27" i="11"/>
  <c r="BC27" i="11" s="1"/>
  <c r="BO27" i="11" s="1"/>
  <c r="CA27" i="11" s="1"/>
  <c r="CM27" i="11" s="1"/>
  <c r="W72" i="1"/>
  <c r="AB133" i="2"/>
  <c r="AB106" i="2"/>
  <c r="M81" i="1"/>
  <c r="M137" i="2"/>
  <c r="M98" i="2"/>
  <c r="M68" i="2"/>
  <c r="M66" i="2"/>
  <c r="M16" i="2"/>
  <c r="AK137" i="2"/>
  <c r="AK81" i="1"/>
  <c r="AK66" i="2"/>
  <c r="AK98" i="2"/>
  <c r="AK68" i="2"/>
  <c r="Q16" i="2"/>
  <c r="Q23" i="2"/>
  <c r="Q15" i="2"/>
  <c r="H159" i="2"/>
  <c r="H157" i="2"/>
  <c r="H156" i="2"/>
  <c r="H131" i="2"/>
  <c r="I38" i="2"/>
  <c r="AY34" i="2"/>
  <c r="AY17" i="2"/>
  <c r="AY146" i="2"/>
  <c r="AY41" i="2" s="1"/>
  <c r="P74" i="1"/>
  <c r="BD161" i="2"/>
  <c r="BD37" i="2"/>
  <c r="BD43" i="2"/>
  <c r="BD97" i="2"/>
  <c r="BD101" i="2" s="1"/>
  <c r="BD165" i="2"/>
  <c r="BD38" i="2"/>
  <c r="BD114" i="2"/>
  <c r="BD163" i="2" s="1"/>
  <c r="BD28" i="2"/>
  <c r="BD31" i="2"/>
  <c r="BD155" i="2"/>
  <c r="AW31" i="2"/>
  <c r="AW155" i="2"/>
  <c r="AW43" i="2"/>
  <c r="BK17" i="2"/>
  <c r="V34" i="2"/>
  <c r="AK165" i="2"/>
  <c r="AK97" i="2"/>
  <c r="AK37" i="2"/>
  <c r="AK43" i="2"/>
  <c r="E14" i="15"/>
  <c r="F14" i="15" s="1"/>
  <c r="AK28" i="2"/>
  <c r="AK38" i="2"/>
  <c r="AK161" i="2"/>
  <c r="AK155" i="2"/>
  <c r="AK158" i="2" s="1"/>
  <c r="AK160" i="2" s="1"/>
  <c r="AK31" i="2"/>
  <c r="H145" i="2"/>
  <c r="H146" i="2" s="1"/>
  <c r="H41" i="2" s="1"/>
  <c r="H147" i="2"/>
  <c r="H151" i="2" s="1"/>
  <c r="D145" i="2"/>
  <c r="D146" i="2" s="1"/>
  <c r="D41" i="2" s="1"/>
  <c r="D147" i="2"/>
  <c r="D151" i="2" s="1"/>
  <c r="AW147" i="2"/>
  <c r="D25" i="2"/>
  <c r="D27" i="2"/>
  <c r="AC15" i="2"/>
  <c r="AC23" i="2"/>
  <c r="AK19" i="1"/>
  <c r="AM27" i="1"/>
  <c r="O73" i="1"/>
  <c r="AL29" i="1"/>
  <c r="AA135" i="2"/>
  <c r="AA134" i="2"/>
  <c r="BI48" i="2"/>
  <c r="BI146" i="2"/>
  <c r="BI41" i="2" s="1"/>
  <c r="BH17" i="2"/>
  <c r="C15" i="2"/>
  <c r="C16" i="2"/>
  <c r="C23" i="2"/>
  <c r="P15" i="2"/>
  <c r="P23" i="2"/>
  <c r="P16" i="2"/>
  <c r="AY51" i="2"/>
  <c r="AK16" i="2"/>
  <c r="BK25" i="2"/>
  <c r="BK27" i="2"/>
  <c r="X15" i="2"/>
  <c r="X16" i="2"/>
  <c r="X146" i="2" s="1"/>
  <c r="X41" i="2" s="1"/>
  <c r="X23" i="2"/>
  <c r="U25" i="2"/>
  <c r="U27" i="2"/>
  <c r="BS1" i="2"/>
  <c r="AI158" i="2"/>
  <c r="AI160" i="2" s="1"/>
  <c r="T147" i="2"/>
  <c r="T151" i="2" s="1"/>
  <c r="T145" i="2"/>
  <c r="T146" i="2" s="1"/>
  <c r="T41" i="2" s="1"/>
  <c r="P147" i="2"/>
  <c r="P151" i="2" s="1"/>
  <c r="P145" i="2"/>
  <c r="AC133" i="2"/>
  <c r="AC106" i="2"/>
  <c r="AC107" i="2" s="1"/>
  <c r="BH146" i="2"/>
  <c r="BH41" i="2" s="1"/>
  <c r="BH48" i="2"/>
  <c r="AC115" i="2"/>
  <c r="AC116" i="2"/>
  <c r="AC32" i="2"/>
  <c r="BK54" i="2"/>
  <c r="BM48" i="2"/>
  <c r="BH27" i="2"/>
  <c r="BH25" i="2"/>
  <c r="I17" i="2"/>
  <c r="BG23" i="2"/>
  <c r="BG15" i="2"/>
  <c r="BG16" i="2"/>
  <c r="BN15" i="2"/>
  <c r="BN16" i="2"/>
  <c r="BN146" i="2" s="1"/>
  <c r="BN41" i="2" s="1"/>
  <c r="BN23" i="2"/>
  <c r="J17" i="2"/>
  <c r="J34" i="2"/>
  <c r="K34" i="2"/>
  <c r="W23" i="2"/>
  <c r="W15" i="2"/>
  <c r="W16" i="2"/>
  <c r="W146" i="2" s="1"/>
  <c r="W41" i="2" s="1"/>
  <c r="BB48" i="2"/>
  <c r="AN34" i="2"/>
  <c r="AM17" i="2"/>
  <c r="L133" i="2"/>
  <c r="L106" i="2"/>
  <c r="M105" i="2"/>
  <c r="BK48" i="2"/>
  <c r="BK51" i="2" s="1"/>
  <c r="BK146" i="2"/>
  <c r="BK41" i="2" s="1"/>
  <c r="BA48" i="2"/>
  <c r="BL27" i="2"/>
  <c r="BL25" i="2"/>
  <c r="H133" i="2"/>
  <c r="H106" i="2"/>
  <c r="I105" i="2"/>
  <c r="BJ23" i="2"/>
  <c r="BJ16" i="2"/>
  <c r="BK34" i="2" s="1"/>
  <c r="BJ15" i="2"/>
  <c r="H15" i="2"/>
  <c r="H16" i="2"/>
  <c r="I34" i="2" s="1"/>
  <c r="H23" i="2"/>
  <c r="D17" i="2"/>
  <c r="BI27" i="2"/>
  <c r="BI25" i="2"/>
  <c r="X73" i="1"/>
  <c r="X74" i="1"/>
  <c r="X72" i="1"/>
  <c r="C30" i="1"/>
  <c r="J93" i="2"/>
  <c r="J79" i="2"/>
  <c r="J99" i="2"/>
  <c r="K135" i="2"/>
  <c r="K134" i="2"/>
  <c r="E84" i="1"/>
  <c r="E85" i="1" s="1"/>
  <c r="BO84" i="1"/>
  <c r="BE145" i="2"/>
  <c r="BF147" i="2"/>
  <c r="BL146" i="2"/>
  <c r="BL41" i="2" s="1"/>
  <c r="BL17" i="2"/>
  <c r="BL34" i="2"/>
  <c r="G126" i="2"/>
  <c r="G107" i="2"/>
  <c r="AX34" i="2"/>
  <c r="BB23" i="2"/>
  <c r="BB16" i="2"/>
  <c r="BB146" i="2" s="1"/>
  <c r="BB41" i="2" s="1"/>
  <c r="BB15" i="2"/>
  <c r="J25" i="2"/>
  <c r="J27" i="2"/>
  <c r="BI34" i="2"/>
  <c r="BI17" i="2"/>
  <c r="BC43" i="2"/>
  <c r="BC31" i="2"/>
  <c r="BC165" i="2"/>
  <c r="BC37" i="2"/>
  <c r="BC49" i="2"/>
  <c r="BC161" i="2"/>
  <c r="BC97" i="2"/>
  <c r="BC101" i="2" s="1"/>
  <c r="BC114" i="2"/>
  <c r="BC163" i="2" s="1"/>
  <c r="BC155" i="2"/>
  <c r="BC28" i="2"/>
  <c r="BC38" i="2"/>
  <c r="AC81" i="1"/>
  <c r="AN115" i="2"/>
  <c r="AN125" i="2"/>
  <c r="AN126" i="2" s="1"/>
  <c r="AN116" i="2"/>
  <c r="AN32" i="2"/>
  <c r="AG145" i="2"/>
  <c r="AG147" i="2"/>
  <c r="AG151" i="2" s="1"/>
  <c r="BP145" i="2"/>
  <c r="C44" i="13"/>
  <c r="AB81" i="1"/>
  <c r="AB137" i="2"/>
  <c r="AB66" i="2"/>
  <c r="AB98" i="2"/>
  <c r="AB16" i="2"/>
  <c r="BF159" i="2"/>
  <c r="BF156" i="2"/>
  <c r="BF157" i="2"/>
  <c r="BE131" i="2"/>
  <c r="BE91" i="2"/>
  <c r="BF38" i="2"/>
  <c r="X133" i="2"/>
  <c r="X106" i="2"/>
  <c r="X107" i="2" s="1"/>
  <c r="Y105" i="2"/>
  <c r="P79" i="2"/>
  <c r="P99" i="2"/>
  <c r="P93" i="2"/>
  <c r="G134" i="2"/>
  <c r="G135" i="2"/>
  <c r="G138" i="2"/>
  <c r="R23" i="2"/>
  <c r="R16" i="2"/>
  <c r="R146" i="2" s="1"/>
  <c r="R41" i="2" s="1"/>
  <c r="R15" i="2"/>
  <c r="BM15" i="2"/>
  <c r="BM23" i="2"/>
  <c r="BM16" i="2"/>
  <c r="O27" i="2"/>
  <c r="O25" i="2"/>
  <c r="BN48" i="2"/>
  <c r="BP84" i="1"/>
  <c r="BP85" i="1" s="1"/>
  <c r="B28" i="1"/>
  <c r="K138" i="2"/>
  <c r="BB84" i="1"/>
  <c r="BB85" i="1" s="1"/>
  <c r="U147" i="2"/>
  <c r="U151" i="2" s="1"/>
  <c r="U145" i="2"/>
  <c r="BE147" i="2"/>
  <c r="BD145" i="2"/>
  <c r="BD147" i="2"/>
  <c r="AZ48" i="2"/>
  <c r="AZ146" i="2"/>
  <c r="AZ41" i="2" s="1"/>
  <c r="W135" i="2"/>
  <c r="W134" i="2"/>
  <c r="W138" i="2"/>
  <c r="B23" i="2"/>
  <c r="B15" i="2"/>
  <c r="B16" i="2"/>
  <c r="B17" i="2" s="1"/>
  <c r="BE157" i="2"/>
  <c r="BR140" i="2"/>
  <c r="BR96" i="2"/>
  <c r="BR109" i="2"/>
  <c r="BR154" i="2"/>
  <c r="BS2" i="2"/>
  <c r="BR55" i="2"/>
  <c r="BR44" i="2"/>
  <c r="I145" i="2"/>
  <c r="I146" i="2" s="1"/>
  <c r="I41" i="2" s="1"/>
  <c r="I147" i="2"/>
  <c r="I151" i="2" s="1"/>
  <c r="AF145" i="2"/>
  <c r="AF146" i="2" s="1"/>
  <c r="AF41" i="2" s="1"/>
  <c r="AF147" i="2"/>
  <c r="AF151" i="2" s="1"/>
  <c r="N145" i="2"/>
  <c r="N146" i="2" s="1"/>
  <c r="N41" i="2" s="1"/>
  <c r="N147" i="2"/>
  <c r="N151" i="2" s="1"/>
  <c r="AN137" i="2"/>
  <c r="AN98" i="2"/>
  <c r="AN68" i="2"/>
  <c r="AN81" i="1"/>
  <c r="AN66" i="2"/>
  <c r="K99" i="2"/>
  <c r="BJ48" i="2"/>
  <c r="AW146" i="2"/>
  <c r="AW41" i="2" s="1"/>
  <c r="AW48" i="2"/>
  <c r="BF48" i="2"/>
  <c r="BF146" i="2"/>
  <c r="BF41" i="2" s="1"/>
  <c r="F16" i="2"/>
  <c r="F23" i="2"/>
  <c r="F15" i="2"/>
  <c r="BE156" i="2"/>
  <c r="BA15" i="2"/>
  <c r="BA23" i="2"/>
  <c r="BA16" i="2"/>
  <c r="O17" i="2"/>
  <c r="O34" i="2"/>
  <c r="L74" i="1"/>
  <c r="BP16" i="2"/>
  <c r="C9" i="13"/>
  <c r="C35" i="13" s="1"/>
  <c r="BP15" i="2"/>
  <c r="BP23" i="2"/>
  <c r="AZ34" i="2"/>
  <c r="AZ17" i="2"/>
  <c r="BE159" i="2"/>
  <c r="AK84" i="1"/>
  <c r="AK85" i="1" s="1"/>
  <c r="AK79" i="1"/>
  <c r="BY27" i="11"/>
  <c r="CK27" i="11" s="1"/>
  <c r="CW27" i="11" s="1"/>
  <c r="AA29" i="1"/>
  <c r="X30" i="1"/>
  <c r="AH29" i="1"/>
  <c r="CG27" i="11"/>
  <c r="CS27" i="11" s="1"/>
  <c r="K29" i="1"/>
  <c r="BN69" i="1"/>
  <c r="N28" i="1"/>
  <c r="AH28" i="1"/>
  <c r="BL69" i="1"/>
  <c r="U78" i="1"/>
  <c r="U84" i="1" s="1"/>
  <c r="W30" i="1"/>
  <c r="K28" i="1"/>
  <c r="AK68" i="1"/>
  <c r="K30" i="1"/>
  <c r="R29" i="1"/>
  <c r="BB69" i="1"/>
  <c r="BC69" i="1"/>
  <c r="AV27" i="11"/>
  <c r="BH27" i="11" s="1"/>
  <c r="BT27" i="11" s="1"/>
  <c r="CF27" i="11" s="1"/>
  <c r="CR27" i="11" s="1"/>
  <c r="AU27" i="11"/>
  <c r="BG27" i="11" s="1"/>
  <c r="BS27" i="11" s="1"/>
  <c r="CE27" i="11" s="1"/>
  <c r="CQ27" i="11" s="1"/>
  <c r="BE69" i="1"/>
  <c r="BM69" i="1"/>
  <c r="BI69" i="1"/>
  <c r="BL28" i="1"/>
  <c r="BJ69" i="1"/>
  <c r="AY69" i="1"/>
  <c r="AS27" i="11"/>
  <c r="BE27" i="11" s="1"/>
  <c r="BQ27" i="11" s="1"/>
  <c r="CC27" i="11" s="1"/>
  <c r="CO27" i="11" s="1"/>
  <c r="Y50" i="1"/>
  <c r="U30" i="1"/>
  <c r="CD4" i="1"/>
  <c r="U29" i="1"/>
  <c r="BQ4" i="1"/>
  <c r="X50" i="1"/>
  <c r="BM29" i="1"/>
  <c r="BL61" i="1"/>
  <c r="BM62" i="1" s="1"/>
  <c r="BL4" i="1"/>
  <c r="BL138" i="2"/>
  <c r="BL47" i="2"/>
  <c r="AL68" i="1"/>
  <c r="AL69" i="1" s="1"/>
  <c r="AL78" i="1"/>
  <c r="BK84" i="1"/>
  <c r="BK85" i="1" s="1"/>
  <c r="BK79" i="1"/>
  <c r="BD84" i="1"/>
  <c r="BE86" i="1" s="1"/>
  <c r="BD79" i="1"/>
  <c r="AN78" i="1"/>
  <c r="AN68" i="1"/>
  <c r="AB50" i="1"/>
  <c r="BG69" i="1"/>
  <c r="BP4" i="1"/>
  <c r="BP138" i="2"/>
  <c r="Q68" i="1"/>
  <c r="Q78" i="1"/>
  <c r="BH69" i="1"/>
  <c r="BM4" i="1"/>
  <c r="V30" i="1"/>
  <c r="AD48" i="1"/>
  <c r="AD50" i="1" s="1"/>
  <c r="Z50" i="1"/>
  <c r="I84" i="1"/>
  <c r="I79" i="1"/>
  <c r="AA50" i="1"/>
  <c r="EN28" i="11"/>
  <c r="EN27" i="11" s="1"/>
  <c r="Z29" i="1"/>
  <c r="V29" i="1"/>
  <c r="Z27" i="11"/>
  <c r="AL27" i="11" s="1"/>
  <c r="AX27" i="11" s="1"/>
  <c r="BJ27" i="11" s="1"/>
  <c r="BV27" i="11" s="1"/>
  <c r="CH27" i="11" s="1"/>
  <c r="CT27" i="11" s="1"/>
  <c r="BO47" i="2"/>
  <c r="BO4" i="1"/>
  <c r="BO138" i="2"/>
  <c r="BN84" i="1"/>
  <c r="BO86" i="1" s="1"/>
  <c r="BN79" i="1"/>
  <c r="BI84" i="1"/>
  <c r="BI79" i="1"/>
  <c r="M84" i="1"/>
  <c r="M79" i="1"/>
  <c r="D85" i="1"/>
  <c r="D87" i="1"/>
  <c r="BE29" i="1"/>
  <c r="BE28" i="1"/>
  <c r="S30" i="1"/>
  <c r="S28" i="1"/>
  <c r="J84" i="1"/>
  <c r="J79" i="1"/>
  <c r="AZ69" i="1"/>
  <c r="AJ68" i="1"/>
  <c r="AJ78" i="1"/>
  <c r="AW29" i="1"/>
  <c r="AW28" i="1"/>
  <c r="BE85" i="1"/>
  <c r="BF86" i="1"/>
  <c r="AF68" i="1"/>
  <c r="AF78" i="1"/>
  <c r="D30" i="1"/>
  <c r="D28" i="1"/>
  <c r="T68" i="1"/>
  <c r="T78" i="1"/>
  <c r="AM44" i="1"/>
  <c r="AL47" i="1"/>
  <c r="S68" i="1"/>
  <c r="S78" i="1"/>
  <c r="BJ79" i="1"/>
  <c r="BJ84" i="1"/>
  <c r="AZ8" i="1"/>
  <c r="BA1" i="1"/>
  <c r="AZ59" i="1"/>
  <c r="AZ54" i="1"/>
  <c r="AW79" i="1"/>
  <c r="AW84" i="1"/>
  <c r="AW85" i="1" s="1"/>
  <c r="Y68" i="1"/>
  <c r="Y69" i="1" s="1"/>
  <c r="Y78" i="1"/>
  <c r="H28" i="1"/>
  <c r="H29" i="1"/>
  <c r="H30" i="1"/>
  <c r="G84" i="1"/>
  <c r="G79" i="1"/>
  <c r="AZ28" i="1"/>
  <c r="AZ29" i="1"/>
  <c r="BP29" i="1"/>
  <c r="BP28" i="1"/>
  <c r="X68" i="1"/>
  <c r="X78" i="1"/>
  <c r="AH79" i="1"/>
  <c r="AH84" i="1"/>
  <c r="AE68" i="1"/>
  <c r="AE78" i="1"/>
  <c r="AD68" i="1"/>
  <c r="AD78" i="1"/>
  <c r="E28" i="1"/>
  <c r="E30" i="1"/>
  <c r="AZ79" i="1"/>
  <c r="AZ84" i="1"/>
  <c r="H84" i="1"/>
  <c r="H79" i="1"/>
  <c r="G29" i="1"/>
  <c r="G28" i="1"/>
  <c r="G30" i="1"/>
  <c r="BL79" i="1"/>
  <c r="BL84" i="1"/>
  <c r="AI29" i="1"/>
  <c r="AI30" i="1"/>
  <c r="AI28" i="1"/>
  <c r="BU4" i="1"/>
  <c r="C70" i="8"/>
  <c r="BT4" i="1"/>
  <c r="T30" i="1"/>
  <c r="AG68" i="1"/>
  <c r="AG78" i="1"/>
  <c r="AY79" i="1"/>
  <c r="AY84" i="1"/>
  <c r="BG28" i="1"/>
  <c r="BG29" i="1"/>
  <c r="W68" i="1"/>
  <c r="W78" i="1"/>
  <c r="BM84" i="1"/>
  <c r="BM79" i="1"/>
  <c r="L84" i="1"/>
  <c r="L79" i="1"/>
  <c r="BV4" i="1"/>
  <c r="BI28" i="1"/>
  <c r="BJ29" i="1"/>
  <c r="BI29" i="1"/>
  <c r="C59" i="1"/>
  <c r="C61" i="1" s="1"/>
  <c r="C54" i="1"/>
  <c r="D56" i="1" s="1"/>
  <c r="BG84" i="1"/>
  <c r="BG79" i="1"/>
  <c r="AY29" i="1"/>
  <c r="AY28" i="1"/>
  <c r="BN28" i="1"/>
  <c r="BN29" i="1"/>
  <c r="Z68" i="1"/>
  <c r="Z69" i="1" s="1"/>
  <c r="Z78" i="1"/>
  <c r="AI68" i="1"/>
  <c r="AM69" i="1" s="1"/>
  <c r="AI78" i="1"/>
  <c r="BF69" i="1"/>
  <c r="BW4" i="1"/>
  <c r="BO85" i="1"/>
  <c r="AE29" i="1"/>
  <c r="AE28" i="1"/>
  <c r="AE30" i="1"/>
  <c r="F28" i="1"/>
  <c r="F30" i="1"/>
  <c r="F29" i="1"/>
  <c r="N68" i="1"/>
  <c r="N78" i="1"/>
  <c r="BF28" i="1"/>
  <c r="BF29" i="1"/>
  <c r="BO29" i="1"/>
  <c r="BO28" i="1"/>
  <c r="BA69" i="1"/>
  <c r="BA84" i="1"/>
  <c r="BA79" i="1"/>
  <c r="AF30" i="1"/>
  <c r="AX84" i="1"/>
  <c r="AX79" i="1"/>
  <c r="AX29" i="1"/>
  <c r="Y30" i="1"/>
  <c r="Y28" i="1"/>
  <c r="Y29" i="1"/>
  <c r="Z30" i="1"/>
  <c r="AE59" i="1"/>
  <c r="AM28" i="1"/>
  <c r="AM30" i="1"/>
  <c r="AM29" i="1"/>
  <c r="BA28" i="1"/>
  <c r="BB29" i="1"/>
  <c r="BA29" i="1"/>
  <c r="AA68" i="1"/>
  <c r="AA78" i="1"/>
  <c r="O68" i="1"/>
  <c r="O78" i="1"/>
  <c r="CB4" i="1"/>
  <c r="CC4" i="1"/>
  <c r="AG1" i="1"/>
  <c r="AF8" i="1"/>
  <c r="P68" i="1"/>
  <c r="P78" i="1"/>
  <c r="BH28" i="1"/>
  <c r="BH29" i="1"/>
  <c r="X46" i="1"/>
  <c r="Y45" i="1"/>
  <c r="K79" i="1"/>
  <c r="K84" i="1"/>
  <c r="B79" i="1"/>
  <c r="B84" i="1"/>
  <c r="BH79" i="1"/>
  <c r="BH84" i="1"/>
  <c r="BP69" i="1"/>
  <c r="BC29" i="1"/>
  <c r="BC28" i="1"/>
  <c r="AB78" i="1"/>
  <c r="AB68" i="1"/>
  <c r="AC68" i="1"/>
  <c r="AC78" i="1"/>
  <c r="BK69" i="1"/>
  <c r="BR4" i="1"/>
  <c r="D8" i="1"/>
  <c r="E1" i="1"/>
  <c r="AY62" i="1" l="1"/>
  <c r="AY64" i="1" s="1"/>
  <c r="AM84" i="1"/>
  <c r="AM85" i="1" s="1"/>
  <c r="AY57" i="1"/>
  <c r="AY60" i="1"/>
  <c r="B56" i="1"/>
  <c r="AY55" i="1"/>
  <c r="L126" i="12"/>
  <c r="L127" i="12" s="1"/>
  <c r="L128" i="12" s="1"/>
  <c r="O75" i="12"/>
  <c r="O77" i="12"/>
  <c r="O80" i="12"/>
  <c r="O78" i="12"/>
  <c r="O83" i="12"/>
  <c r="AI162" i="2"/>
  <c r="AI164" i="2" s="1"/>
  <c r="AI34" i="2"/>
  <c r="U17" i="2"/>
  <c r="AC66" i="2"/>
  <c r="AH146" i="2"/>
  <c r="AH41" i="2" s="1"/>
  <c r="M27" i="2"/>
  <c r="M25" i="2"/>
  <c r="S29" i="1"/>
  <c r="AC137" i="2"/>
  <c r="O29" i="1"/>
  <c r="R84" i="1"/>
  <c r="U146" i="2"/>
  <c r="U41" i="2" s="1"/>
  <c r="AG155" i="2"/>
  <c r="AG158" i="2" s="1"/>
  <c r="AG160" i="2" s="1"/>
  <c r="E11" i="15"/>
  <c r="F11" i="15" s="1"/>
  <c r="AX146" i="2"/>
  <c r="AX41" i="2" s="1"/>
  <c r="S146" i="2"/>
  <c r="S41" i="2" s="1"/>
  <c r="AG37" i="2"/>
  <c r="O28" i="1"/>
  <c r="BD158" i="2"/>
  <c r="BD160" i="2" s="1"/>
  <c r="AG146" i="2"/>
  <c r="AG41" i="2" s="1"/>
  <c r="AG43" i="2"/>
  <c r="AG31" i="2"/>
  <c r="AN27" i="2"/>
  <c r="AN25" i="2"/>
  <c r="V84" i="1"/>
  <c r="V85" i="1" s="1"/>
  <c r="AC16" i="2"/>
  <c r="AC146" i="2" s="1"/>
  <c r="AC41" i="2" s="1"/>
  <c r="AX51" i="2"/>
  <c r="AG162" i="2"/>
  <c r="F86" i="1"/>
  <c r="AW28" i="2"/>
  <c r="AW97" i="2"/>
  <c r="AW101" i="2" s="1"/>
  <c r="AH25" i="2"/>
  <c r="AH27" i="2"/>
  <c r="F87" i="1"/>
  <c r="AW114" i="2"/>
  <c r="AW163" i="2" s="1"/>
  <c r="AD28" i="2"/>
  <c r="AD37" i="2"/>
  <c r="AD155" i="2"/>
  <c r="AD158" i="2" s="1"/>
  <c r="AD160" i="2" s="1"/>
  <c r="AD114" i="2"/>
  <c r="AD163" i="2" s="1"/>
  <c r="AD38" i="2"/>
  <c r="AD161" i="2"/>
  <c r="AD31" i="2"/>
  <c r="AD43" i="2"/>
  <c r="AD97" i="2"/>
  <c r="AD101" i="2" s="1"/>
  <c r="AD165" i="2"/>
  <c r="AC98" i="2"/>
  <c r="AW161" i="2"/>
  <c r="T135" i="2"/>
  <c r="T134" i="2"/>
  <c r="T138" i="2"/>
  <c r="AF126" i="2"/>
  <c r="U106" i="2"/>
  <c r="U133" i="2"/>
  <c r="K31" i="2"/>
  <c r="K43" i="2"/>
  <c r="K155" i="2"/>
  <c r="K158" i="2" s="1"/>
  <c r="K160" i="2" s="1"/>
  <c r="K161" i="2"/>
  <c r="K97" i="2"/>
  <c r="K101" i="2" s="1"/>
  <c r="K37" i="2"/>
  <c r="K165" i="2"/>
  <c r="K28" i="2"/>
  <c r="K114" i="2"/>
  <c r="K163" i="2" s="1"/>
  <c r="K38" i="2"/>
  <c r="AG133" i="2"/>
  <c r="AG106" i="2"/>
  <c r="AG107" i="2" s="1"/>
  <c r="AA146" i="2"/>
  <c r="AA41" i="2" s="1"/>
  <c r="AE34" i="2"/>
  <c r="AE17" i="2"/>
  <c r="AF138" i="2"/>
  <c r="AF135" i="2"/>
  <c r="AF134" i="2"/>
  <c r="AM27" i="2"/>
  <c r="AM25" i="2"/>
  <c r="E87" i="1"/>
  <c r="AJ104" i="2"/>
  <c r="AK106" i="2"/>
  <c r="AJ107" i="2"/>
  <c r="Y25" i="2"/>
  <c r="Y27" i="2"/>
  <c r="BC86" i="1"/>
  <c r="N25" i="2"/>
  <c r="N27" i="2"/>
  <c r="BO31" i="2"/>
  <c r="BO38" i="2"/>
  <c r="BO114" i="2"/>
  <c r="BO163" i="2" s="1"/>
  <c r="BO161" i="2"/>
  <c r="BO165" i="2"/>
  <c r="BO37" i="2"/>
  <c r="BO28" i="2"/>
  <c r="BO49" i="2"/>
  <c r="BO97" i="2"/>
  <c r="BO101" i="2" s="1"/>
  <c r="BO155" i="2"/>
  <c r="BO158" i="2" s="1"/>
  <c r="BO160" i="2" s="1"/>
  <c r="BO43" i="2"/>
  <c r="S25" i="2"/>
  <c r="S27" i="2"/>
  <c r="AB25" i="2"/>
  <c r="AB27" i="2"/>
  <c r="AE27" i="2"/>
  <c r="AE25" i="2"/>
  <c r="AN134" i="2"/>
  <c r="AN138" i="2"/>
  <c r="AL27" i="2"/>
  <c r="AL25" i="2"/>
  <c r="U79" i="1"/>
  <c r="T34" i="2"/>
  <c r="T17" i="2"/>
  <c r="BF31" i="2"/>
  <c r="BF35" i="2" s="1"/>
  <c r="BF114" i="2"/>
  <c r="BF163" i="2" s="1"/>
  <c r="BF28" i="2"/>
  <c r="BF97" i="2"/>
  <c r="BF101" i="2" s="1"/>
  <c r="BF155" i="2"/>
  <c r="BF158" i="2" s="1"/>
  <c r="BF160" i="2" s="1"/>
  <c r="BF165" i="2"/>
  <c r="BF37" i="2"/>
  <c r="BF161" i="2"/>
  <c r="BF49" i="2"/>
  <c r="BF43" i="2"/>
  <c r="Z27" i="2"/>
  <c r="Z25" i="2"/>
  <c r="AX37" i="2"/>
  <c r="AX155" i="2"/>
  <c r="AX158" i="2" s="1"/>
  <c r="AX160" i="2" s="1"/>
  <c r="AX43" i="2"/>
  <c r="AX28" i="2"/>
  <c r="AX165" i="2"/>
  <c r="AX38" i="2"/>
  <c r="AX31" i="2"/>
  <c r="AY35" i="2" s="1"/>
  <c r="AX161" i="2"/>
  <c r="AX114" i="2"/>
  <c r="AX163" i="2" s="1"/>
  <c r="AX97" i="2"/>
  <c r="AX101" i="2" s="1"/>
  <c r="AX49" i="2"/>
  <c r="AA27" i="2"/>
  <c r="AA25" i="2"/>
  <c r="AO4" i="2"/>
  <c r="T25" i="2"/>
  <c r="T27" i="2"/>
  <c r="AL17" i="2"/>
  <c r="AL146" i="2"/>
  <c r="AL41" i="2" s="1"/>
  <c r="AS78" i="2"/>
  <c r="BC158" i="2"/>
  <c r="BC160" i="2" s="1"/>
  <c r="BC162" i="2" s="1"/>
  <c r="BC164" i="2" s="1"/>
  <c r="AA34" i="2"/>
  <c r="Z17" i="2"/>
  <c r="Z34" i="2"/>
  <c r="T107" i="2"/>
  <c r="T126" i="2"/>
  <c r="Y146" i="2"/>
  <c r="Y41" i="2" s="1"/>
  <c r="BA17" i="2"/>
  <c r="BA34" i="2"/>
  <c r="AZ53" i="2"/>
  <c r="AZ51" i="2"/>
  <c r="O37" i="2"/>
  <c r="O38" i="2"/>
  <c r="O161" i="2"/>
  <c r="O165" i="2"/>
  <c r="O114" i="2"/>
  <c r="O163" i="2" s="1"/>
  <c r="O155" i="2"/>
  <c r="O158" i="2" s="1"/>
  <c r="O160" i="2" s="1"/>
  <c r="O43" i="2"/>
  <c r="O97" i="2"/>
  <c r="O101" i="2" s="1"/>
  <c r="O31" i="2"/>
  <c r="O28" i="2"/>
  <c r="BB25" i="2"/>
  <c r="BB27" i="2"/>
  <c r="Q17" i="2"/>
  <c r="Q34" i="2"/>
  <c r="BA25" i="2"/>
  <c r="BA27" i="2"/>
  <c r="AN27" i="1"/>
  <c r="AN82" i="1"/>
  <c r="BP48" i="2"/>
  <c r="BP146" i="2"/>
  <c r="BP41" i="2" s="1"/>
  <c r="C22" i="13"/>
  <c r="C23" i="13" s="1"/>
  <c r="W34" i="2"/>
  <c r="W17" i="2"/>
  <c r="BS45" i="2"/>
  <c r="AK34" i="2"/>
  <c r="AL34" i="2"/>
  <c r="AK17" i="2"/>
  <c r="AK146" i="2"/>
  <c r="AK41" i="2" s="1"/>
  <c r="C11" i="13"/>
  <c r="C13" i="13" s="1"/>
  <c r="BP25" i="2"/>
  <c r="BP27" i="2"/>
  <c r="BE146" i="2"/>
  <c r="BE41" i="2" s="1"/>
  <c r="BE48" i="2"/>
  <c r="BJ34" i="2"/>
  <c r="BJ17" i="2"/>
  <c r="BG146" i="2"/>
  <c r="BG41" i="2" s="1"/>
  <c r="BG17" i="2"/>
  <c r="BG34" i="2"/>
  <c r="BG51" i="2"/>
  <c r="AC17" i="2"/>
  <c r="AW35" i="2"/>
  <c r="BD35" i="2"/>
  <c r="AK116" i="2"/>
  <c r="AK115" i="2"/>
  <c r="AK125" i="2"/>
  <c r="AK32" i="2"/>
  <c r="AK114" i="2"/>
  <c r="AK163" i="2" s="1"/>
  <c r="B27" i="2"/>
  <c r="B25" i="2"/>
  <c r="AC82" i="1"/>
  <c r="AC27" i="1"/>
  <c r="BJ25" i="2"/>
  <c r="BJ27" i="2"/>
  <c r="W25" i="2"/>
  <c r="W27" i="2"/>
  <c r="P17" i="2"/>
  <c r="P34" i="2"/>
  <c r="AC27" i="2"/>
  <c r="AC25" i="2"/>
  <c r="AK162" i="2"/>
  <c r="AB107" i="2"/>
  <c r="AB126" i="2"/>
  <c r="B146" i="2"/>
  <c r="B41" i="2" s="1"/>
  <c r="X126" i="2"/>
  <c r="AH34" i="2"/>
  <c r="AG34" i="2"/>
  <c r="AG17" i="2"/>
  <c r="BF51" i="2"/>
  <c r="BF53" i="2"/>
  <c r="BM17" i="2"/>
  <c r="BM34" i="2"/>
  <c r="I106" i="2"/>
  <c r="I133" i="2"/>
  <c r="M106" i="2"/>
  <c r="M133" i="2"/>
  <c r="BG27" i="2"/>
  <c r="BG25" i="2"/>
  <c r="U43" i="2"/>
  <c r="U97" i="2"/>
  <c r="U101" i="2" s="1"/>
  <c r="U31" i="2"/>
  <c r="U161" i="2"/>
  <c r="U38" i="2"/>
  <c r="U37" i="2"/>
  <c r="U165" i="2"/>
  <c r="U155" i="2"/>
  <c r="U158" i="2" s="1"/>
  <c r="U160" i="2" s="1"/>
  <c r="U114" i="2"/>
  <c r="U163" i="2" s="1"/>
  <c r="U28" i="2"/>
  <c r="P25" i="2"/>
  <c r="P27" i="2"/>
  <c r="BI51" i="2"/>
  <c r="BI53" i="2"/>
  <c r="AK82" i="1"/>
  <c r="AK27" i="1"/>
  <c r="AB135" i="2"/>
  <c r="AB134" i="2"/>
  <c r="AB138" i="2"/>
  <c r="AZ97" i="2"/>
  <c r="AZ101" i="2" s="1"/>
  <c r="AZ28" i="2"/>
  <c r="AZ37" i="2"/>
  <c r="AZ49" i="2"/>
  <c r="AZ31" i="2"/>
  <c r="AZ35" i="2" s="1"/>
  <c r="AZ161" i="2"/>
  <c r="AZ155" i="2"/>
  <c r="AZ158" i="2" s="1"/>
  <c r="AZ160" i="2" s="1"/>
  <c r="AZ165" i="2"/>
  <c r="AZ114" i="2"/>
  <c r="AZ163" i="2" s="1"/>
  <c r="AZ38" i="2"/>
  <c r="AZ43" i="2"/>
  <c r="AX53" i="2"/>
  <c r="C17" i="13"/>
  <c r="C18" i="13" s="1"/>
  <c r="BP34" i="2"/>
  <c r="BP17" i="2"/>
  <c r="F25" i="2"/>
  <c r="F27" i="2"/>
  <c r="BN51" i="2"/>
  <c r="BN53" i="2"/>
  <c r="BM27" i="2"/>
  <c r="BM25" i="2"/>
  <c r="BI38" i="2"/>
  <c r="BI28" i="2"/>
  <c r="BI165" i="2"/>
  <c r="BI37" i="2"/>
  <c r="BI155" i="2"/>
  <c r="BI158" i="2" s="1"/>
  <c r="BI160" i="2" s="1"/>
  <c r="BI97" i="2"/>
  <c r="BI101" i="2" s="1"/>
  <c r="BI161" i="2"/>
  <c r="BI162" i="2" s="1"/>
  <c r="BI43" i="2"/>
  <c r="BI114" i="2"/>
  <c r="BI163" i="2" s="1"/>
  <c r="BI31" i="2"/>
  <c r="BI49" i="2"/>
  <c r="H107" i="2"/>
  <c r="H126" i="2"/>
  <c r="L107" i="2"/>
  <c r="L126" i="2"/>
  <c r="D38" i="2"/>
  <c r="D97" i="2"/>
  <c r="D101" i="2" s="1"/>
  <c r="D37" i="2"/>
  <c r="D43" i="2"/>
  <c r="D114" i="2"/>
  <c r="D163" i="2" s="1"/>
  <c r="D165" i="2"/>
  <c r="D31" i="2"/>
  <c r="D161" i="2"/>
  <c r="D28" i="2"/>
  <c r="D155" i="2"/>
  <c r="D158" i="2" s="1"/>
  <c r="D160" i="2" s="1"/>
  <c r="F34" i="2"/>
  <c r="F17" i="2"/>
  <c r="AW51" i="2"/>
  <c r="AW53" i="2"/>
  <c r="H138" i="2"/>
  <c r="H135" i="2"/>
  <c r="H134" i="2"/>
  <c r="L134" i="2"/>
  <c r="L135" i="2"/>
  <c r="L138" i="2"/>
  <c r="BH51" i="2"/>
  <c r="BH53" i="2"/>
  <c r="X25" i="2"/>
  <c r="X27" i="2"/>
  <c r="C25" i="2"/>
  <c r="C27" i="2"/>
  <c r="M34" i="2"/>
  <c r="N34" i="2"/>
  <c r="M146" i="2"/>
  <c r="M41" i="2" s="1"/>
  <c r="M17" i="2"/>
  <c r="AG164" i="2"/>
  <c r="AF17" i="2"/>
  <c r="AF34" i="2"/>
  <c r="AC126" i="2"/>
  <c r="AB34" i="2"/>
  <c r="AB17" i="2"/>
  <c r="Y34" i="2"/>
  <c r="X17" i="2"/>
  <c r="X34" i="2"/>
  <c r="C17" i="2"/>
  <c r="C34" i="2"/>
  <c r="G34" i="2"/>
  <c r="G17" i="2"/>
  <c r="AJ17" i="2"/>
  <c r="AJ34" i="2"/>
  <c r="AG27" i="1"/>
  <c r="AG82" i="1"/>
  <c r="BE158" i="2"/>
  <c r="BE160" i="2" s="1"/>
  <c r="BE162" i="2" s="1"/>
  <c r="BE164" i="2" s="1"/>
  <c r="W69" i="1"/>
  <c r="BJ146" i="2"/>
  <c r="BJ41" i="2" s="1"/>
  <c r="R34" i="2"/>
  <c r="R17" i="2"/>
  <c r="S34" i="2"/>
  <c r="Y106" i="2"/>
  <c r="Y133" i="2"/>
  <c r="J43" i="2"/>
  <c r="J165" i="2"/>
  <c r="J38" i="2"/>
  <c r="J28" i="2"/>
  <c r="J37" i="2"/>
  <c r="J161" i="2"/>
  <c r="J114" i="2"/>
  <c r="J163" i="2" s="1"/>
  <c r="J97" i="2"/>
  <c r="J101" i="2" s="1"/>
  <c r="J31" i="2"/>
  <c r="J155" i="2"/>
  <c r="J158" i="2" s="1"/>
  <c r="J160" i="2" s="1"/>
  <c r="D34" i="2"/>
  <c r="BL28" i="2"/>
  <c r="BL114" i="2"/>
  <c r="BL163" i="2" s="1"/>
  <c r="BL38" i="2"/>
  <c r="BL161" i="2"/>
  <c r="BL165" i="2"/>
  <c r="BL97" i="2"/>
  <c r="BL101" i="2" s="1"/>
  <c r="BL37" i="2"/>
  <c r="BL31" i="2"/>
  <c r="BL155" i="2"/>
  <c r="BL158" i="2" s="1"/>
  <c r="BL160" i="2" s="1"/>
  <c r="BL43" i="2"/>
  <c r="BL49" i="2"/>
  <c r="BH38" i="2"/>
  <c r="BH97" i="2"/>
  <c r="BH101" i="2" s="1"/>
  <c r="BH165" i="2"/>
  <c r="BH155" i="2"/>
  <c r="BH158" i="2" s="1"/>
  <c r="BH160" i="2" s="1"/>
  <c r="BH161" i="2"/>
  <c r="BH43" i="2"/>
  <c r="BH114" i="2"/>
  <c r="BH163" i="2" s="1"/>
  <c r="BH49" i="2"/>
  <c r="BH31" i="2"/>
  <c r="BH37" i="2"/>
  <c r="BH28" i="2"/>
  <c r="G27" i="2"/>
  <c r="G25" i="2"/>
  <c r="BS96" i="2"/>
  <c r="BS109" i="2"/>
  <c r="BS154" i="2"/>
  <c r="BS140" i="2"/>
  <c r="BS44" i="2"/>
  <c r="BS55" i="2"/>
  <c r="BT2" i="2"/>
  <c r="AJ25" i="2"/>
  <c r="AJ27" i="2"/>
  <c r="BJ51" i="2"/>
  <c r="BJ53" i="2"/>
  <c r="R25" i="2"/>
  <c r="R27" i="2"/>
  <c r="BN27" i="2"/>
  <c r="BN25" i="2"/>
  <c r="BM51" i="2"/>
  <c r="BM53" i="2"/>
  <c r="AC135" i="2"/>
  <c r="AC134" i="2"/>
  <c r="AC138" i="2"/>
  <c r="BK114" i="2"/>
  <c r="BK163" i="2" s="1"/>
  <c r="BK49" i="2"/>
  <c r="BK161" i="2"/>
  <c r="BK38" i="2"/>
  <c r="BK31" i="2"/>
  <c r="BK97" i="2"/>
  <c r="BK101" i="2" s="1"/>
  <c r="BK43" i="2"/>
  <c r="BK37" i="2"/>
  <c r="BK165" i="2"/>
  <c r="BK28" i="2"/>
  <c r="BK155" i="2"/>
  <c r="BK158" i="2" s="1"/>
  <c r="BK160" i="2" s="1"/>
  <c r="F154" i="2"/>
  <c r="F140" i="2"/>
  <c r="F109" i="2"/>
  <c r="F55" i="2"/>
  <c r="F96" i="2"/>
  <c r="F1" i="2"/>
  <c r="F44" i="2"/>
  <c r="G2" i="2"/>
  <c r="L25" i="2"/>
  <c r="L27" i="2"/>
  <c r="E17" i="2"/>
  <c r="E34" i="2"/>
  <c r="BO51" i="2"/>
  <c r="BO53" i="2"/>
  <c r="C146" i="2"/>
  <c r="C41" i="2" s="1"/>
  <c r="BD48" i="2"/>
  <c r="BD146" i="2"/>
  <c r="BD41" i="2" s="1"/>
  <c r="P82" i="1"/>
  <c r="P27" i="1"/>
  <c r="BP86" i="1"/>
  <c r="X134" i="2"/>
  <c r="X135" i="2"/>
  <c r="X138" i="2"/>
  <c r="Q146" i="2"/>
  <c r="Q41" i="2" s="1"/>
  <c r="H27" i="2"/>
  <c r="H25" i="2"/>
  <c r="BA51" i="2"/>
  <c r="BA53" i="2"/>
  <c r="BO34" i="2"/>
  <c r="BN17" i="2"/>
  <c r="BN34" i="2"/>
  <c r="BM146" i="2"/>
  <c r="BM41" i="2" s="1"/>
  <c r="P146" i="2"/>
  <c r="P41" i="2" s="1"/>
  <c r="BH34" i="2"/>
  <c r="BD162" i="2"/>
  <c r="BD164" i="2" s="1"/>
  <c r="L17" i="2"/>
  <c r="L34" i="2"/>
  <c r="E27" i="2"/>
  <c r="E25" i="2"/>
  <c r="AF84" i="2"/>
  <c r="AF99" i="2" s="1"/>
  <c r="AG83" i="2"/>
  <c r="AF27" i="2"/>
  <c r="AF25" i="2"/>
  <c r="BB86" i="1"/>
  <c r="AB146" i="2"/>
  <c r="AB41" i="2" s="1"/>
  <c r="AB27" i="1"/>
  <c r="AB82" i="1"/>
  <c r="BB17" i="2"/>
  <c r="BB34" i="2"/>
  <c r="BC34" i="2"/>
  <c r="H34" i="2"/>
  <c r="H17" i="2"/>
  <c r="BA146" i="2"/>
  <c r="BA41" i="2" s="1"/>
  <c r="BB51" i="2"/>
  <c r="BB53" i="2"/>
  <c r="BK53" i="2"/>
  <c r="Q25" i="2"/>
  <c r="Q27" i="2"/>
  <c r="M27" i="1"/>
  <c r="M82" i="1"/>
  <c r="BE35" i="2"/>
  <c r="F146" i="2"/>
  <c r="F41" i="2" s="1"/>
  <c r="AB69" i="1"/>
  <c r="AE48" i="1"/>
  <c r="AD69" i="1"/>
  <c r="AN84" i="1"/>
  <c r="AN79" i="1"/>
  <c r="BD85" i="1"/>
  <c r="BD86" i="1"/>
  <c r="Q79" i="1"/>
  <c r="Q84" i="1"/>
  <c r="Q85" i="1" s="1"/>
  <c r="AL79" i="1"/>
  <c r="AL84" i="1"/>
  <c r="AL86" i="1" s="1"/>
  <c r="I85" i="1"/>
  <c r="I86" i="1"/>
  <c r="AI69" i="1"/>
  <c r="P84" i="1"/>
  <c r="P79" i="1"/>
  <c r="AD84" i="1"/>
  <c r="AD79" i="1"/>
  <c r="AE61" i="1"/>
  <c r="BA85" i="1"/>
  <c r="BA86" i="1"/>
  <c r="AE69" i="1"/>
  <c r="T79" i="1"/>
  <c r="T84" i="1"/>
  <c r="U87" i="1" s="1"/>
  <c r="BI86" i="1"/>
  <c r="BI85" i="1"/>
  <c r="D59" i="1"/>
  <c r="D61" i="1" s="1"/>
  <c r="D54" i="1"/>
  <c r="E56" i="1" s="1"/>
  <c r="AM47" i="1"/>
  <c r="AN44" i="1"/>
  <c r="AY86" i="1"/>
  <c r="AY85" i="1"/>
  <c r="AZ56" i="1"/>
  <c r="AZ57" i="1" s="1"/>
  <c r="AZ55" i="1"/>
  <c r="AJ79" i="1"/>
  <c r="AJ84" i="1"/>
  <c r="AN80" i="1"/>
  <c r="U85" i="1"/>
  <c r="V87" i="1"/>
  <c r="AZ61" i="1"/>
  <c r="AZ62" i="1" s="1"/>
  <c r="AZ60" i="1"/>
  <c r="AJ69" i="1"/>
  <c r="AN69" i="1"/>
  <c r="BN85" i="1"/>
  <c r="BN86" i="1"/>
  <c r="Y84" i="1"/>
  <c r="Y79" i="1"/>
  <c r="E8" i="1"/>
  <c r="F1" i="1"/>
  <c r="O79" i="1"/>
  <c r="O84" i="1"/>
  <c r="AE84" i="1"/>
  <c r="AE79" i="1"/>
  <c r="BH86" i="1"/>
  <c r="BH85" i="1"/>
  <c r="B85" i="1"/>
  <c r="C87" i="1"/>
  <c r="BA8" i="1"/>
  <c r="BA54" i="1"/>
  <c r="BA59" i="1"/>
  <c r="BB1" i="1"/>
  <c r="AC69" i="1"/>
  <c r="Y46" i="1"/>
  <c r="Z45" i="1"/>
  <c r="Z79" i="1"/>
  <c r="Z84" i="1"/>
  <c r="AG79" i="1"/>
  <c r="AG84" i="1"/>
  <c r="AH87" i="1" s="1"/>
  <c r="H85" i="1"/>
  <c r="H86" i="1"/>
  <c r="H87" i="1"/>
  <c r="I87" i="1"/>
  <c r="AC79" i="1"/>
  <c r="AC84" i="1"/>
  <c r="AG69" i="1"/>
  <c r="AK69" i="1"/>
  <c r="AZ86" i="1"/>
  <c r="AZ85" i="1"/>
  <c r="AH85" i="1"/>
  <c r="AH86" i="1"/>
  <c r="BJ86" i="1"/>
  <c r="BK86" i="1"/>
  <c r="BJ85" i="1"/>
  <c r="V86" i="1"/>
  <c r="R85" i="1"/>
  <c r="AX86" i="1"/>
  <c r="AX85" i="1"/>
  <c r="AI79" i="1"/>
  <c r="AI84" i="1"/>
  <c r="W79" i="1"/>
  <c r="W84" i="1"/>
  <c r="BG85" i="1"/>
  <c r="BG86" i="1"/>
  <c r="AA84" i="1"/>
  <c r="AA79" i="1"/>
  <c r="K87" i="1"/>
  <c r="K86" i="1"/>
  <c r="K85" i="1"/>
  <c r="AA69" i="1"/>
  <c r="G85" i="1"/>
  <c r="G87" i="1"/>
  <c r="G86" i="1"/>
  <c r="L86" i="1"/>
  <c r="L85" i="1"/>
  <c r="L87" i="1"/>
  <c r="BL85" i="1"/>
  <c r="BL86" i="1"/>
  <c r="M85" i="1"/>
  <c r="M86" i="1"/>
  <c r="M87" i="1"/>
  <c r="AB79" i="1"/>
  <c r="AB84" i="1"/>
  <c r="AF59" i="1"/>
  <c r="E12" i="15"/>
  <c r="F12" i="15" s="1"/>
  <c r="N79" i="1"/>
  <c r="N84" i="1"/>
  <c r="R86" i="1" s="1"/>
  <c r="AF79" i="1"/>
  <c r="AF84" i="1"/>
  <c r="J85" i="1"/>
  <c r="J86" i="1"/>
  <c r="J87" i="1"/>
  <c r="AE50" i="1"/>
  <c r="AF48" i="1"/>
  <c r="AG8" i="1"/>
  <c r="AH1" i="1"/>
  <c r="AH69" i="1"/>
  <c r="X79" i="1"/>
  <c r="X84" i="1"/>
  <c r="S84" i="1"/>
  <c r="S79" i="1"/>
  <c r="AF69" i="1"/>
  <c r="BM86" i="1"/>
  <c r="BM85" i="1"/>
  <c r="AO13" i="2"/>
  <c r="AO9" i="2"/>
  <c r="X69" i="1"/>
  <c r="O74" i="12" l="1"/>
  <c r="O81" i="12"/>
  <c r="O73" i="12"/>
  <c r="O76" i="12"/>
  <c r="O79" i="12"/>
  <c r="O82" i="12"/>
  <c r="AZ64" i="1"/>
  <c r="BF162" i="2"/>
  <c r="BF164" i="2" s="1"/>
  <c r="M165" i="2"/>
  <c r="M28" i="2"/>
  <c r="M43" i="2"/>
  <c r="M155" i="2"/>
  <c r="M158" i="2" s="1"/>
  <c r="M160" i="2" s="1"/>
  <c r="M162" i="2" s="1"/>
  <c r="M37" i="2"/>
  <c r="M97" i="2"/>
  <c r="M101" i="2" s="1"/>
  <c r="M31" i="2"/>
  <c r="M161" i="2"/>
  <c r="M38" i="2"/>
  <c r="M114" i="2"/>
  <c r="M163" i="2" s="1"/>
  <c r="AX35" i="2"/>
  <c r="AD34" i="2"/>
  <c r="AX162" i="2"/>
  <c r="AX164" i="2" s="1"/>
  <c r="BH162" i="2"/>
  <c r="AC34" i="2"/>
  <c r="AH38" i="2"/>
  <c r="AH97" i="2"/>
  <c r="AH28" i="2"/>
  <c r="AH155" i="2"/>
  <c r="AH158" i="2" s="1"/>
  <c r="AH160" i="2" s="1"/>
  <c r="AH37" i="2"/>
  <c r="AH161" i="2"/>
  <c r="AH43" i="2"/>
  <c r="AH114" i="2"/>
  <c r="AH163" i="2" s="1"/>
  <c r="AH165" i="2"/>
  <c r="AH31" i="2"/>
  <c r="O162" i="2"/>
  <c r="O164" i="2" s="1"/>
  <c r="AD162" i="2"/>
  <c r="AD164" i="2" s="1"/>
  <c r="AN155" i="2"/>
  <c r="AN158" i="2" s="1"/>
  <c r="AN160" i="2" s="1"/>
  <c r="AN38" i="2"/>
  <c r="AN31" i="2"/>
  <c r="AN97" i="2"/>
  <c r="AN114" i="2"/>
  <c r="AN163" i="2" s="1"/>
  <c r="AN161" i="2"/>
  <c r="AN162" i="2" s="1"/>
  <c r="AN164" i="2" s="1"/>
  <c r="AN165" i="2"/>
  <c r="AN43" i="2"/>
  <c r="AN37" i="2"/>
  <c r="AN28" i="2"/>
  <c r="AK126" i="2"/>
  <c r="AE165" i="2"/>
  <c r="AE28" i="2"/>
  <c r="AE161" i="2"/>
  <c r="AE31" i="2"/>
  <c r="AE35" i="2" s="1"/>
  <c r="AE155" i="2"/>
  <c r="AE158" i="2" s="1"/>
  <c r="AE160" i="2" s="1"/>
  <c r="AE162" i="2" s="1"/>
  <c r="AE97" i="2"/>
  <c r="AE101" i="2" s="1"/>
  <c r="AE37" i="2"/>
  <c r="AE43" i="2"/>
  <c r="AE38" i="2"/>
  <c r="AE114" i="2"/>
  <c r="AE163" i="2" s="1"/>
  <c r="AK107" i="2"/>
  <c r="AK104" i="2"/>
  <c r="K162" i="2"/>
  <c r="K164" i="2" s="1"/>
  <c r="D162" i="2"/>
  <c r="AA37" i="2"/>
  <c r="AA97" i="2"/>
  <c r="AA101" i="2" s="1"/>
  <c r="AA161" i="2"/>
  <c r="AA38" i="2"/>
  <c r="AA165" i="2"/>
  <c r="AA43" i="2"/>
  <c r="AA155" i="2"/>
  <c r="AA158" i="2" s="1"/>
  <c r="AA160" i="2" s="1"/>
  <c r="AA31" i="2"/>
  <c r="AA28" i="2"/>
  <c r="AA114" i="2"/>
  <c r="AA163" i="2" s="1"/>
  <c r="AB43" i="2"/>
  <c r="AB114" i="2"/>
  <c r="AB163" i="2" s="1"/>
  <c r="AB161" i="2"/>
  <c r="AB155" i="2"/>
  <c r="AB158" i="2" s="1"/>
  <c r="AB160" i="2" s="1"/>
  <c r="AB162" i="2" s="1"/>
  <c r="AB37" i="2"/>
  <c r="AB165" i="2"/>
  <c r="AB31" i="2"/>
  <c r="AB38" i="2"/>
  <c r="AB28" i="2"/>
  <c r="AB97" i="2"/>
  <c r="AB101" i="2" s="1"/>
  <c r="U138" i="2"/>
  <c r="U134" i="2"/>
  <c r="U135" i="2"/>
  <c r="BI35" i="2"/>
  <c r="U162" i="2"/>
  <c r="Z43" i="2"/>
  <c r="Z31" i="2"/>
  <c r="Z28" i="2"/>
  <c r="Z165" i="2"/>
  <c r="Z161" i="2"/>
  <c r="Z155" i="2"/>
  <c r="Z158" i="2" s="1"/>
  <c r="Z160" i="2" s="1"/>
  <c r="Z162" i="2" s="1"/>
  <c r="Z164" i="2" s="1"/>
  <c r="Z37" i="2"/>
  <c r="Z114" i="2"/>
  <c r="Z163" i="2" s="1"/>
  <c r="Z38" i="2"/>
  <c r="Z97" i="2"/>
  <c r="Z101" i="2" s="1"/>
  <c r="AG134" i="2"/>
  <c r="AG138" i="2"/>
  <c r="AG135" i="2"/>
  <c r="U126" i="2"/>
  <c r="U107" i="2"/>
  <c r="J162" i="2"/>
  <c r="J164" i="2" s="1"/>
  <c r="BI164" i="2"/>
  <c r="S43" i="2"/>
  <c r="S165" i="2"/>
  <c r="S28" i="2"/>
  <c r="S37" i="2"/>
  <c r="S155" i="2"/>
  <c r="S158" i="2" s="1"/>
  <c r="S160" i="2" s="1"/>
  <c r="S114" i="2"/>
  <c r="S163" i="2" s="1"/>
  <c r="S161" i="2"/>
  <c r="S38" i="2"/>
  <c r="S31" i="2"/>
  <c r="S97" i="2"/>
  <c r="S101" i="2" s="1"/>
  <c r="N114" i="2"/>
  <c r="N163" i="2" s="1"/>
  <c r="N161" i="2"/>
  <c r="N38" i="2"/>
  <c r="N165" i="2"/>
  <c r="N97" i="2"/>
  <c r="N101" i="2" s="1"/>
  <c r="N155" i="2"/>
  <c r="N158" i="2" s="1"/>
  <c r="N160" i="2" s="1"/>
  <c r="N43" i="2"/>
  <c r="N28" i="2"/>
  <c r="N37" i="2"/>
  <c r="N31" i="2"/>
  <c r="N35" i="2" s="1"/>
  <c r="AM161" i="2"/>
  <c r="AM162" i="2" s="1"/>
  <c r="AM97" i="2"/>
  <c r="AM31" i="2"/>
  <c r="AM114" i="2"/>
  <c r="AM163" i="2" s="1"/>
  <c r="AM43" i="2"/>
  <c r="AM38" i="2"/>
  <c r="AM28" i="2"/>
  <c r="AM155" i="2"/>
  <c r="AM158" i="2" s="1"/>
  <c r="AM160" i="2" s="1"/>
  <c r="AM37" i="2"/>
  <c r="AM165" i="2"/>
  <c r="BL162" i="2"/>
  <c r="BO162" i="2"/>
  <c r="BO164" i="2" s="1"/>
  <c r="AG126" i="2"/>
  <c r="Y38" i="2"/>
  <c r="Y43" i="2"/>
  <c r="Y28" i="2"/>
  <c r="Y114" i="2"/>
  <c r="Y163" i="2" s="1"/>
  <c r="Y165" i="2"/>
  <c r="Y97" i="2"/>
  <c r="Y101" i="2" s="1"/>
  <c r="Y31" i="2"/>
  <c r="Y155" i="2"/>
  <c r="Y158" i="2" s="1"/>
  <c r="Y160" i="2" s="1"/>
  <c r="Y37" i="2"/>
  <c r="Y161" i="2"/>
  <c r="T165" i="2"/>
  <c r="T37" i="2"/>
  <c r="T155" i="2"/>
  <c r="T158" i="2" s="1"/>
  <c r="T160" i="2" s="1"/>
  <c r="T97" i="2"/>
  <c r="T101" i="2" s="1"/>
  <c r="T31" i="2"/>
  <c r="T161" i="2"/>
  <c r="T28" i="2"/>
  <c r="T43" i="2"/>
  <c r="T38" i="2"/>
  <c r="T114" i="2"/>
  <c r="T163" i="2" s="1"/>
  <c r="AL114" i="2"/>
  <c r="AL163" i="2" s="1"/>
  <c r="AL38" i="2"/>
  <c r="AL31" i="2"/>
  <c r="AL35" i="2" s="1"/>
  <c r="AL155" i="2"/>
  <c r="AL158" i="2" s="1"/>
  <c r="AL160" i="2" s="1"/>
  <c r="AL161" i="2"/>
  <c r="AL162" i="2" s="1"/>
  <c r="AL97" i="2"/>
  <c r="AL165" i="2"/>
  <c r="AL43" i="2"/>
  <c r="AL28" i="2"/>
  <c r="AL37" i="2"/>
  <c r="C27" i="13"/>
  <c r="L97" i="2"/>
  <c r="L101" i="2" s="1"/>
  <c r="L38" i="2"/>
  <c r="L165" i="2"/>
  <c r="L155" i="2"/>
  <c r="L158" i="2" s="1"/>
  <c r="L160" i="2" s="1"/>
  <c r="L31" i="2"/>
  <c r="L161" i="2"/>
  <c r="L43" i="2"/>
  <c r="L28" i="2"/>
  <c r="L114" i="2"/>
  <c r="L163" i="2" s="1"/>
  <c r="L37" i="2"/>
  <c r="U164" i="2"/>
  <c r="M126" i="2"/>
  <c r="M107" i="2"/>
  <c r="BL35" i="2"/>
  <c r="I135" i="2"/>
  <c r="I134" i="2"/>
  <c r="I138" i="2"/>
  <c r="W165" i="2"/>
  <c r="W38" i="2"/>
  <c r="W28" i="2"/>
  <c r="W155" i="2"/>
  <c r="W158" i="2" s="1"/>
  <c r="W160" i="2" s="1"/>
  <c r="W31" i="2"/>
  <c r="W35" i="2" s="1"/>
  <c r="W43" i="2"/>
  <c r="W114" i="2"/>
  <c r="W163" i="2" s="1"/>
  <c r="W97" i="2"/>
  <c r="W101" i="2" s="1"/>
  <c r="W161" i="2"/>
  <c r="W37" i="2"/>
  <c r="AJ43" i="2"/>
  <c r="AJ28" i="2"/>
  <c r="AJ165" i="2"/>
  <c r="AJ97" i="2"/>
  <c r="AJ38" i="2"/>
  <c r="AJ31" i="2"/>
  <c r="AJ37" i="2"/>
  <c r="AJ161" i="2"/>
  <c r="AJ155" i="2"/>
  <c r="AJ158" i="2" s="1"/>
  <c r="AJ160" i="2" s="1"/>
  <c r="AJ114" i="2"/>
  <c r="AJ163" i="2" s="1"/>
  <c r="AF114" i="2"/>
  <c r="AF163" i="2" s="1"/>
  <c r="AF161" i="2"/>
  <c r="AF97" i="2"/>
  <c r="AF101" i="2" s="1"/>
  <c r="AF43" i="2"/>
  <c r="AF28" i="2"/>
  <c r="AF37" i="2"/>
  <c r="AF155" i="2"/>
  <c r="AF158" i="2" s="1"/>
  <c r="AF160" i="2" s="1"/>
  <c r="AF31" i="2"/>
  <c r="AF38" i="2"/>
  <c r="AF165" i="2"/>
  <c r="G155" i="2"/>
  <c r="G158" i="2" s="1"/>
  <c r="G160" i="2" s="1"/>
  <c r="G28" i="2"/>
  <c r="G43" i="2"/>
  <c r="G37" i="2"/>
  <c r="G114" i="2"/>
  <c r="G163" i="2" s="1"/>
  <c r="G31" i="2"/>
  <c r="G165" i="2"/>
  <c r="G161" i="2"/>
  <c r="G97" i="2"/>
  <c r="G101" i="2" s="1"/>
  <c r="G38" i="2"/>
  <c r="I107" i="2"/>
  <c r="I126" i="2"/>
  <c r="BA43" i="2"/>
  <c r="BA37" i="2"/>
  <c r="BA49" i="2"/>
  <c r="BA165" i="2"/>
  <c r="BA97" i="2"/>
  <c r="BA101" i="2" s="1"/>
  <c r="BA155" i="2"/>
  <c r="BA158" i="2" s="1"/>
  <c r="BA160" i="2" s="1"/>
  <c r="BA38" i="2"/>
  <c r="BA28" i="2"/>
  <c r="BA161" i="2"/>
  <c r="BA31" i="2"/>
  <c r="BA35" i="2" s="1"/>
  <c r="BA114" i="2"/>
  <c r="BA163" i="2" s="1"/>
  <c r="AH83" i="2"/>
  <c r="AG84" i="2"/>
  <c r="AG99" i="2" s="1"/>
  <c r="AG101" i="2" s="1"/>
  <c r="T29" i="1"/>
  <c r="P29" i="1"/>
  <c r="P30" i="1"/>
  <c r="P28" i="1"/>
  <c r="Q30" i="1"/>
  <c r="G140" i="2"/>
  <c r="G154" i="2"/>
  <c r="G55" i="2"/>
  <c r="G109" i="2"/>
  <c r="G44" i="2"/>
  <c r="H2" i="2"/>
  <c r="G96" i="2"/>
  <c r="G1" i="2"/>
  <c r="BH164" i="2"/>
  <c r="BJ43" i="2"/>
  <c r="BJ37" i="2"/>
  <c r="BJ49" i="2"/>
  <c r="BJ155" i="2"/>
  <c r="BJ158" i="2" s="1"/>
  <c r="BJ160" i="2" s="1"/>
  <c r="BJ114" i="2"/>
  <c r="BJ163" i="2" s="1"/>
  <c r="BJ38" i="2"/>
  <c r="BJ165" i="2"/>
  <c r="BJ161" i="2"/>
  <c r="BJ97" i="2"/>
  <c r="BJ101" i="2" s="1"/>
  <c r="BJ28" i="2"/>
  <c r="BJ31" i="2"/>
  <c r="BJ35" i="2" s="1"/>
  <c r="BT154" i="2"/>
  <c r="BT96" i="2"/>
  <c r="BT109" i="2"/>
  <c r="BT140" i="2"/>
  <c r="BT44" i="2"/>
  <c r="BU2" i="2"/>
  <c r="BT1" i="2"/>
  <c r="BT55" i="2"/>
  <c r="BM161" i="2"/>
  <c r="BM28" i="2"/>
  <c r="BM97" i="2"/>
  <c r="BM101" i="2" s="1"/>
  <c r="BM38" i="2"/>
  <c r="BM43" i="2"/>
  <c r="BM165" i="2"/>
  <c r="BM37" i="2"/>
  <c r="BM155" i="2"/>
  <c r="BM158" i="2" s="1"/>
  <c r="BM160" i="2" s="1"/>
  <c r="BM31" i="2"/>
  <c r="BM35" i="2" s="1"/>
  <c r="BM114" i="2"/>
  <c r="BM163" i="2" s="1"/>
  <c r="BM49" i="2"/>
  <c r="AK28" i="1"/>
  <c r="AK30" i="1"/>
  <c r="AK29" i="1"/>
  <c r="AL30" i="1"/>
  <c r="AC28" i="1"/>
  <c r="AC29" i="1"/>
  <c r="AD30" i="1"/>
  <c r="AC30" i="1"/>
  <c r="BE51" i="2"/>
  <c r="BE53" i="2"/>
  <c r="BB37" i="2"/>
  <c r="BB155" i="2"/>
  <c r="BB158" i="2" s="1"/>
  <c r="BB160" i="2" s="1"/>
  <c r="BB38" i="2"/>
  <c r="BB97" i="2"/>
  <c r="BB101" i="2" s="1"/>
  <c r="BB31" i="2"/>
  <c r="BB43" i="2"/>
  <c r="BB49" i="2"/>
  <c r="BB28" i="2"/>
  <c r="BB161" i="2"/>
  <c r="BB165" i="2"/>
  <c r="BB114" i="2"/>
  <c r="BB163" i="2" s="1"/>
  <c r="V35" i="2"/>
  <c r="E43" i="2"/>
  <c r="E165" i="2"/>
  <c r="E114" i="2"/>
  <c r="E163" i="2" s="1"/>
  <c r="E97" i="2"/>
  <c r="E101" i="2" s="1"/>
  <c r="E37" i="2"/>
  <c r="E155" i="2"/>
  <c r="E158" i="2" s="1"/>
  <c r="E160" i="2" s="1"/>
  <c r="E38" i="2"/>
  <c r="E31" i="2"/>
  <c r="E35" i="2" s="1"/>
  <c r="E161" i="2"/>
  <c r="E28" i="2"/>
  <c r="C97" i="2"/>
  <c r="C101" i="2" s="1"/>
  <c r="C155" i="2"/>
  <c r="C158" i="2" s="1"/>
  <c r="C160" i="2" s="1"/>
  <c r="C37" i="2"/>
  <c r="C31" i="2"/>
  <c r="D35" i="2" s="1"/>
  <c r="C114" i="2"/>
  <c r="C163" i="2" s="1"/>
  <c r="C161" i="2"/>
  <c r="C162" i="2" s="1"/>
  <c r="C38" i="2"/>
  <c r="C28" i="2"/>
  <c r="C43" i="2"/>
  <c r="C165" i="2"/>
  <c r="R155" i="2"/>
  <c r="R158" i="2" s="1"/>
  <c r="R160" i="2" s="1"/>
  <c r="R37" i="2"/>
  <c r="R38" i="2"/>
  <c r="R165" i="2"/>
  <c r="R97" i="2"/>
  <c r="R101" i="2" s="1"/>
  <c r="R114" i="2"/>
  <c r="R163" i="2" s="1"/>
  <c r="R161" i="2"/>
  <c r="R31" i="2"/>
  <c r="R28" i="2"/>
  <c r="R43" i="2"/>
  <c r="BN155" i="2"/>
  <c r="BN158" i="2" s="1"/>
  <c r="BN160" i="2" s="1"/>
  <c r="BN165" i="2"/>
  <c r="BN97" i="2"/>
  <c r="BN101" i="2" s="1"/>
  <c r="BN114" i="2"/>
  <c r="BN163" i="2" s="1"/>
  <c r="BN28" i="2"/>
  <c r="BN37" i="2"/>
  <c r="BN31" i="2"/>
  <c r="BN43" i="2"/>
  <c r="BN161" i="2"/>
  <c r="BN38" i="2"/>
  <c r="BN49" i="2"/>
  <c r="BL164" i="2"/>
  <c r="X37" i="2"/>
  <c r="X43" i="2"/>
  <c r="X161" i="2"/>
  <c r="X114" i="2"/>
  <c r="X163" i="2" s="1"/>
  <c r="X165" i="2"/>
  <c r="X38" i="2"/>
  <c r="X31" i="2"/>
  <c r="X155" i="2"/>
  <c r="X158" i="2" s="1"/>
  <c r="X160" i="2" s="1"/>
  <c r="X97" i="2"/>
  <c r="X101" i="2" s="1"/>
  <c r="X28" i="2"/>
  <c r="B114" i="2"/>
  <c r="B163" i="2" s="1"/>
  <c r="B31" i="2"/>
  <c r="B37" i="2"/>
  <c r="B28" i="2"/>
  <c r="B97" i="2"/>
  <c r="B101" i="2" s="1"/>
  <c r="B155" i="2"/>
  <c r="B158" i="2" s="1"/>
  <c r="B160" i="2" s="1"/>
  <c r="B38" i="2"/>
  <c r="B161" i="2"/>
  <c r="B43" i="2"/>
  <c r="B165" i="2"/>
  <c r="BP161" i="2"/>
  <c r="BP162" i="2" s="1"/>
  <c r="BP43" i="2"/>
  <c r="C15" i="13"/>
  <c r="C25" i="13" s="1"/>
  <c r="BP114" i="2"/>
  <c r="BP163" i="2" s="1"/>
  <c r="BP28" i="2"/>
  <c r="BP165" i="2"/>
  <c r="C31" i="13" s="1"/>
  <c r="BP37" i="2"/>
  <c r="BP38" i="2"/>
  <c r="BP97" i="2"/>
  <c r="BP101" i="2" s="1"/>
  <c r="BP155" i="2"/>
  <c r="BP158" i="2" s="1"/>
  <c r="BP160" i="2" s="1"/>
  <c r="Q28" i="2"/>
  <c r="Q38" i="2"/>
  <c r="Q155" i="2"/>
  <c r="Q158" i="2" s="1"/>
  <c r="Q160" i="2" s="1"/>
  <c r="Q37" i="2"/>
  <c r="Q161" i="2"/>
  <c r="Q162" i="2" s="1"/>
  <c r="Q31" i="2"/>
  <c r="Q97" i="2"/>
  <c r="Q101" i="2" s="1"/>
  <c r="Q165" i="2"/>
  <c r="Q43" i="2"/>
  <c r="Q114" i="2"/>
  <c r="Q163" i="2" s="1"/>
  <c r="H37" i="2"/>
  <c r="H31" i="2"/>
  <c r="H161" i="2"/>
  <c r="H155" i="2"/>
  <c r="H158" i="2" s="1"/>
  <c r="H160" i="2" s="1"/>
  <c r="H38" i="2"/>
  <c r="H165" i="2"/>
  <c r="H43" i="2"/>
  <c r="H97" i="2"/>
  <c r="H101" i="2" s="1"/>
  <c r="H114" i="2"/>
  <c r="H163" i="2" s="1"/>
  <c r="H28" i="2"/>
  <c r="BK162" i="2"/>
  <c r="Y134" i="2"/>
  <c r="Y135" i="2"/>
  <c r="Y138" i="2"/>
  <c r="P165" i="2"/>
  <c r="P31" i="2"/>
  <c r="P35" i="2" s="1"/>
  <c r="P43" i="2"/>
  <c r="P114" i="2"/>
  <c r="P163" i="2" s="1"/>
  <c r="P97" i="2"/>
  <c r="P101" i="2" s="1"/>
  <c r="P28" i="2"/>
  <c r="P38" i="2"/>
  <c r="P161" i="2"/>
  <c r="P155" i="2"/>
  <c r="P158" i="2" s="1"/>
  <c r="P160" i="2" s="1"/>
  <c r="P37" i="2"/>
  <c r="AG28" i="1"/>
  <c r="AG30" i="1"/>
  <c r="AH30" i="1"/>
  <c r="AG29" i="1"/>
  <c r="AF29" i="1"/>
  <c r="AB29" i="1"/>
  <c r="AB28" i="1"/>
  <c r="AB30" i="1"/>
  <c r="BK35" i="2"/>
  <c r="Y126" i="2"/>
  <c r="Y107" i="2"/>
  <c r="BG161" i="2"/>
  <c r="BG28" i="2"/>
  <c r="BG114" i="2"/>
  <c r="BG163" i="2" s="1"/>
  <c r="BG97" i="2"/>
  <c r="BG101" i="2" s="1"/>
  <c r="BG43" i="2"/>
  <c r="BG38" i="2"/>
  <c r="BG165" i="2"/>
  <c r="BG49" i="2"/>
  <c r="BG31" i="2"/>
  <c r="BG35" i="2" s="1"/>
  <c r="BG37" i="2"/>
  <c r="BG155" i="2"/>
  <c r="BG158" i="2" s="1"/>
  <c r="BG160" i="2" s="1"/>
  <c r="AC155" i="2"/>
  <c r="AC158" i="2" s="1"/>
  <c r="AC160" i="2" s="1"/>
  <c r="AC37" i="2"/>
  <c r="AC165" i="2"/>
  <c r="AC38" i="2"/>
  <c r="AC31" i="2"/>
  <c r="AC28" i="2"/>
  <c r="AC161" i="2"/>
  <c r="AC97" i="2"/>
  <c r="AC101" i="2" s="1"/>
  <c r="AC43" i="2"/>
  <c r="AC114" i="2"/>
  <c r="AC163" i="2" s="1"/>
  <c r="AK164" i="2"/>
  <c r="C36" i="13"/>
  <c r="M29" i="1"/>
  <c r="M30" i="1"/>
  <c r="M28" i="1"/>
  <c r="Q29" i="1"/>
  <c r="N30" i="1"/>
  <c r="BD51" i="2"/>
  <c r="BD53" i="2"/>
  <c r="D164" i="2"/>
  <c r="F161" i="2"/>
  <c r="F155" i="2"/>
  <c r="F158" i="2" s="1"/>
  <c r="F160" i="2" s="1"/>
  <c r="F31" i="2"/>
  <c r="F28" i="2"/>
  <c r="F114" i="2"/>
  <c r="F163" i="2" s="1"/>
  <c r="F38" i="2"/>
  <c r="F43" i="2"/>
  <c r="F37" i="2"/>
  <c r="F97" i="2"/>
  <c r="F101" i="2" s="1"/>
  <c r="F165" i="2"/>
  <c r="AZ162" i="2"/>
  <c r="AZ164" i="2" s="1"/>
  <c r="BK164" i="2"/>
  <c r="J35" i="2"/>
  <c r="K35" i="2"/>
  <c r="M134" i="2"/>
  <c r="M135" i="2"/>
  <c r="M138" i="2"/>
  <c r="AN28" i="1"/>
  <c r="AN30" i="1"/>
  <c r="AN29" i="1"/>
  <c r="Q86" i="1"/>
  <c r="U86" i="1"/>
  <c r="U88" i="1"/>
  <c r="AN85" i="1"/>
  <c r="AN87" i="1"/>
  <c r="AL85" i="1"/>
  <c r="AL88" i="1" s="1"/>
  <c r="AL87" i="1"/>
  <c r="AM87" i="1"/>
  <c r="R87" i="1"/>
  <c r="BA56" i="1"/>
  <c r="BA57" i="1" s="1"/>
  <c r="BA55" i="1"/>
  <c r="X85" i="1"/>
  <c r="X87" i="1"/>
  <c r="X86" i="1"/>
  <c r="V88" i="1"/>
  <c r="Z46" i="1"/>
  <c r="AA45" i="1"/>
  <c r="S85" i="1"/>
  <c r="S86" i="1"/>
  <c r="S87" i="1"/>
  <c r="AB85" i="1"/>
  <c r="AB87" i="1"/>
  <c r="AB86" i="1"/>
  <c r="AF86" i="1"/>
  <c r="AF85" i="1"/>
  <c r="AF87" i="1"/>
  <c r="AN47" i="1"/>
  <c r="N85" i="1"/>
  <c r="R88" i="1" s="1"/>
  <c r="N86" i="1"/>
  <c r="N87" i="1"/>
  <c r="AC87" i="1"/>
  <c r="AC86" i="1"/>
  <c r="AC85" i="1"/>
  <c r="AG59" i="1"/>
  <c r="W85" i="1"/>
  <c r="W88" i="1" s="1"/>
  <c r="W87" i="1"/>
  <c r="W86" i="1"/>
  <c r="AG85" i="1"/>
  <c r="AG87" i="1"/>
  <c r="AG86" i="1"/>
  <c r="AK86" i="1"/>
  <c r="F8" i="1"/>
  <c r="G1" i="1"/>
  <c r="AI1" i="1"/>
  <c r="AH8" i="1"/>
  <c r="AE85" i="1"/>
  <c r="AE86" i="1"/>
  <c r="AE87" i="1"/>
  <c r="E59" i="1"/>
  <c r="E61" i="1" s="1"/>
  <c r="E54" i="1"/>
  <c r="F56" i="1" s="1"/>
  <c r="F57" i="1" s="1"/>
  <c r="AD85" i="1"/>
  <c r="AD86" i="1"/>
  <c r="AD87" i="1"/>
  <c r="AJ87" i="1"/>
  <c r="AJ86" i="1"/>
  <c r="AJ85" i="1"/>
  <c r="AN86" i="1"/>
  <c r="AK87" i="1"/>
  <c r="AF50" i="1"/>
  <c r="AG48" i="1"/>
  <c r="AA87" i="1"/>
  <c r="AA85" i="1"/>
  <c r="AA86" i="1"/>
  <c r="AI85" i="1"/>
  <c r="AI86" i="1"/>
  <c r="AI87" i="1"/>
  <c r="AM86" i="1"/>
  <c r="BC1" i="1"/>
  <c r="BB8" i="1"/>
  <c r="BB54" i="1"/>
  <c r="BB59" i="1"/>
  <c r="O87" i="1"/>
  <c r="O85" i="1"/>
  <c r="O86" i="1"/>
  <c r="AF61" i="1"/>
  <c r="Z85" i="1"/>
  <c r="Z88" i="1" s="1"/>
  <c r="Z86" i="1"/>
  <c r="Z87" i="1"/>
  <c r="BA61" i="1"/>
  <c r="BA62" i="1" s="1"/>
  <c r="BA60" i="1"/>
  <c r="Y85" i="1"/>
  <c r="Y88" i="1" s="1"/>
  <c r="Y86" i="1"/>
  <c r="Y87" i="1"/>
  <c r="T85" i="1"/>
  <c r="T87" i="1"/>
  <c r="T86" i="1"/>
  <c r="P85" i="1"/>
  <c r="P87" i="1"/>
  <c r="P86" i="1"/>
  <c r="Q87" i="1"/>
  <c r="Z35" i="2" l="1"/>
  <c r="AH162" i="2"/>
  <c r="AH164" i="2" s="1"/>
  <c r="AB164" i="2"/>
  <c r="M164" i="2"/>
  <c r="AA35" i="2"/>
  <c r="AA162" i="2"/>
  <c r="AA164" i="2" s="1"/>
  <c r="AF162" i="2"/>
  <c r="AF164" i="2" s="1"/>
  <c r="W162" i="2"/>
  <c r="W164" i="2" s="1"/>
  <c r="AH35" i="2"/>
  <c r="AI35" i="2"/>
  <c r="O35" i="2"/>
  <c r="T35" i="2"/>
  <c r="BH35" i="2"/>
  <c r="AB88" i="1"/>
  <c r="AJ162" i="2"/>
  <c r="AJ164" i="2" s="1"/>
  <c r="AM164" i="2"/>
  <c r="AB35" i="2"/>
  <c r="BN162" i="2"/>
  <c r="BN164" i="2" s="1"/>
  <c r="R162" i="2"/>
  <c r="R164" i="2" s="1"/>
  <c r="BM162" i="2"/>
  <c r="BM164" i="2" s="1"/>
  <c r="AM35" i="2"/>
  <c r="AN35" i="2"/>
  <c r="C35" i="2"/>
  <c r="AL164" i="2"/>
  <c r="AE164" i="2"/>
  <c r="Y162" i="2"/>
  <c r="Y164" i="2" s="1"/>
  <c r="B162" i="2"/>
  <c r="B164" i="2" s="1"/>
  <c r="S162" i="2"/>
  <c r="S164" i="2" s="1"/>
  <c r="BG162" i="2"/>
  <c r="BG164" i="2" s="1"/>
  <c r="Q164" i="2"/>
  <c r="U35" i="2"/>
  <c r="N162" i="2"/>
  <c r="N164" i="2" s="1"/>
  <c r="G35" i="2"/>
  <c r="AF88" i="1"/>
  <c r="F35" i="2"/>
  <c r="P162" i="2"/>
  <c r="E162" i="2"/>
  <c r="E164" i="2" s="1"/>
  <c r="T162" i="2"/>
  <c r="T164" i="2" s="1"/>
  <c r="X35" i="2"/>
  <c r="Y35" i="2"/>
  <c r="BN35" i="2"/>
  <c r="BO35" i="2"/>
  <c r="AC35" i="2"/>
  <c r="AD35" i="2"/>
  <c r="F162" i="2"/>
  <c r="F164" i="2" s="1"/>
  <c r="C41" i="13"/>
  <c r="C37" i="13"/>
  <c r="P164" i="2"/>
  <c r="I35" i="2"/>
  <c r="H35" i="2"/>
  <c r="C164" i="2"/>
  <c r="Q35" i="2"/>
  <c r="X162" i="2"/>
  <c r="X164" i="2" s="1"/>
  <c r="H154" i="2"/>
  <c r="H140" i="2"/>
  <c r="H109" i="2"/>
  <c r="H55" i="2"/>
  <c r="H96" i="2"/>
  <c r="H1" i="2"/>
  <c r="I2" i="2"/>
  <c r="H44" i="2"/>
  <c r="AI83" i="2"/>
  <c r="AH84" i="2"/>
  <c r="AH99" i="2" s="1"/>
  <c r="AH101" i="2" s="1"/>
  <c r="L162" i="2"/>
  <c r="L164" i="2" s="1"/>
  <c r="BB35" i="2"/>
  <c r="BC35" i="2"/>
  <c r="L35" i="2"/>
  <c r="M35" i="2"/>
  <c r="BP164" i="2"/>
  <c r="BB162" i="2"/>
  <c r="BB164" i="2" s="1"/>
  <c r="BA162" i="2"/>
  <c r="BA164" i="2" s="1"/>
  <c r="AF35" i="2"/>
  <c r="AG35" i="2"/>
  <c r="R35" i="2"/>
  <c r="S35" i="2"/>
  <c r="AC162" i="2"/>
  <c r="AC164" i="2" s="1"/>
  <c r="BT45" i="2"/>
  <c r="BJ162" i="2"/>
  <c r="BJ164" i="2" s="1"/>
  <c r="AJ35" i="2"/>
  <c r="AK35" i="2"/>
  <c r="H162" i="2"/>
  <c r="H164" i="2" s="1"/>
  <c r="BU154" i="2"/>
  <c r="BU109" i="2"/>
  <c r="BU140" i="2"/>
  <c r="BV2" i="2"/>
  <c r="BU44" i="2"/>
  <c r="BU55" i="2"/>
  <c r="BU1" i="2"/>
  <c r="BU96" i="2"/>
  <c r="G162" i="2"/>
  <c r="G164" i="2" s="1"/>
  <c r="BA64" i="1"/>
  <c r="AD88" i="1"/>
  <c r="S88" i="1"/>
  <c r="BB55" i="1"/>
  <c r="BB56" i="1"/>
  <c r="BB57" i="1" s="1"/>
  <c r="AH48" i="1"/>
  <c r="AG50" i="1"/>
  <c r="F52" i="1"/>
  <c r="F53" i="1" s="1"/>
  <c r="AC88" i="1"/>
  <c r="BD1" i="1"/>
  <c r="BC8" i="1"/>
  <c r="BC59" i="1"/>
  <c r="BC54" i="1"/>
  <c r="AJ88" i="1"/>
  <c r="AN88" i="1"/>
  <c r="AE88" i="1"/>
  <c r="AG88" i="1"/>
  <c r="AK88" i="1"/>
  <c r="AI88" i="1"/>
  <c r="AM88" i="1"/>
  <c r="BB61" i="1"/>
  <c r="BB62" i="1" s="1"/>
  <c r="BB60" i="1"/>
  <c r="T88" i="1"/>
  <c r="AH59" i="1"/>
  <c r="AG60" i="1"/>
  <c r="AG61" i="1"/>
  <c r="AG62" i="1" s="1"/>
  <c r="AA88" i="1"/>
  <c r="AB45" i="1"/>
  <c r="AA46" i="1"/>
  <c r="AH88" i="1"/>
  <c r="AI8" i="1"/>
  <c r="AJ1" i="1"/>
  <c r="H1" i="1"/>
  <c r="G8" i="1"/>
  <c r="X88" i="1"/>
  <c r="F54" i="1"/>
  <c r="F59" i="1"/>
  <c r="C42" i="13" l="1"/>
  <c r="C45" i="13" s="1"/>
  <c r="AJ83" i="2"/>
  <c r="AI84" i="2"/>
  <c r="AI99" i="2" s="1"/>
  <c r="AI101" i="2" s="1"/>
  <c r="I140" i="2"/>
  <c r="I109" i="2"/>
  <c r="I96" i="2"/>
  <c r="I154" i="2"/>
  <c r="I55" i="2"/>
  <c r="I1" i="2"/>
  <c r="I44" i="2"/>
  <c r="J2" i="2"/>
  <c r="BV154" i="2"/>
  <c r="BV140" i="2"/>
  <c r="BV44" i="2"/>
  <c r="BV96" i="2"/>
  <c r="BV109" i="2"/>
  <c r="BV55" i="2"/>
  <c r="BV1" i="2"/>
  <c r="BW2" i="2"/>
  <c r="BU45" i="2"/>
  <c r="BC56" i="1"/>
  <c r="BC57" i="1" s="1"/>
  <c r="BC55" i="1"/>
  <c r="H8" i="1"/>
  <c r="I1" i="1"/>
  <c r="BD8" i="1"/>
  <c r="BE1" i="1"/>
  <c r="BD59" i="1"/>
  <c r="BD54" i="1"/>
  <c r="F60" i="1"/>
  <c r="F61" i="1"/>
  <c r="F62" i="1" s="1"/>
  <c r="F64" i="1" s="1"/>
  <c r="AH61" i="1"/>
  <c r="AH62" i="1" s="1"/>
  <c r="AH60" i="1"/>
  <c r="AJ8" i="1"/>
  <c r="AK1" i="1"/>
  <c r="BC61" i="1"/>
  <c r="BC62" i="1" s="1"/>
  <c r="BC60" i="1"/>
  <c r="G54" i="1"/>
  <c r="G59" i="1"/>
  <c r="AI59" i="1"/>
  <c r="AB46" i="1"/>
  <c r="AC45" i="1"/>
  <c r="G56" i="1"/>
  <c r="G57" i="1" s="1"/>
  <c r="F55" i="1"/>
  <c r="AI48" i="1"/>
  <c r="AH50" i="1"/>
  <c r="BB64" i="1"/>
  <c r="BC64" i="1" l="1"/>
  <c r="J140" i="2"/>
  <c r="J109" i="2"/>
  <c r="J96" i="2"/>
  <c r="J154" i="2"/>
  <c r="K2" i="2"/>
  <c r="J55" i="2"/>
  <c r="J44" i="2"/>
  <c r="J1" i="2"/>
  <c r="BV45" i="2"/>
  <c r="BW140" i="2"/>
  <c r="BW154" i="2"/>
  <c r="BW55" i="2"/>
  <c r="BW109" i="2"/>
  <c r="BW44" i="2"/>
  <c r="BW96" i="2"/>
  <c r="BX2" i="2"/>
  <c r="BW1" i="2"/>
  <c r="AK83" i="2"/>
  <c r="AJ84" i="2"/>
  <c r="AJ99" i="2" s="1"/>
  <c r="AJ101" i="2" s="1"/>
  <c r="BD56" i="1"/>
  <c r="BD57" i="1" s="1"/>
  <c r="BD55" i="1"/>
  <c r="BF1" i="1"/>
  <c r="BE8" i="1"/>
  <c r="BE54" i="1"/>
  <c r="BE59" i="1"/>
  <c r="G52" i="1"/>
  <c r="G53" i="1" s="1"/>
  <c r="J1" i="1"/>
  <c r="I8" i="1"/>
  <c r="AD45" i="1"/>
  <c r="AC46" i="1"/>
  <c r="H59" i="1"/>
  <c r="H54" i="1"/>
  <c r="BD60" i="1"/>
  <c r="BD61" i="1"/>
  <c r="BD62" i="1" s="1"/>
  <c r="AK8" i="1"/>
  <c r="AL1" i="1"/>
  <c r="G61" i="1"/>
  <c r="G62" i="1" s="1"/>
  <c r="G64" i="1" s="1"/>
  <c r="G60" i="1"/>
  <c r="G55" i="1"/>
  <c r="H56" i="1"/>
  <c r="H57" i="1" s="1"/>
  <c r="AJ59" i="1"/>
  <c r="AI50" i="1"/>
  <c r="AJ48" i="1"/>
  <c r="AI61" i="1"/>
  <c r="AI62" i="1" s="1"/>
  <c r="AI60" i="1"/>
  <c r="BX109" i="2" l="1"/>
  <c r="BX154" i="2"/>
  <c r="BX96" i="2"/>
  <c r="BY2" i="2"/>
  <c r="BX140" i="2"/>
  <c r="BX1" i="2"/>
  <c r="BX44" i="2"/>
  <c r="BX55" i="2"/>
  <c r="K109" i="2"/>
  <c r="K96" i="2"/>
  <c r="K154" i="2"/>
  <c r="K140" i="2"/>
  <c r="L2" i="2"/>
  <c r="K55" i="2"/>
  <c r="K44" i="2"/>
  <c r="K1" i="2"/>
  <c r="AK84" i="2"/>
  <c r="AK99" i="2" s="1"/>
  <c r="AK101" i="2" s="1"/>
  <c r="AL83" i="2"/>
  <c r="BW45" i="2"/>
  <c r="BD64" i="1"/>
  <c r="K1" i="1"/>
  <c r="J8" i="1"/>
  <c r="AK59" i="1"/>
  <c r="AO60" i="1" s="1"/>
  <c r="AL8" i="1"/>
  <c r="AM1" i="1"/>
  <c r="AD46" i="1"/>
  <c r="AE45" i="1"/>
  <c r="BE55" i="1"/>
  <c r="BE56" i="1"/>
  <c r="BE57" i="1" s="1"/>
  <c r="BE61" i="1"/>
  <c r="BE62" i="1" s="1"/>
  <c r="BE60" i="1"/>
  <c r="H52" i="1"/>
  <c r="H53" i="1" s="1"/>
  <c r="H61" i="1"/>
  <c r="H62" i="1" s="1"/>
  <c r="H64" i="1" s="1"/>
  <c r="H60" i="1"/>
  <c r="I59" i="1"/>
  <c r="I54" i="1"/>
  <c r="AJ61" i="1"/>
  <c r="AJ62" i="1" s="1"/>
  <c r="AJ60" i="1"/>
  <c r="BF8" i="1"/>
  <c r="BG1" i="1"/>
  <c r="BF54" i="1"/>
  <c r="BF59" i="1"/>
  <c r="AK48" i="1"/>
  <c r="AJ50" i="1"/>
  <c r="I56" i="1"/>
  <c r="I57" i="1" s="1"/>
  <c r="H55" i="1"/>
  <c r="AM83" i="2" l="1"/>
  <c r="AL84" i="2"/>
  <c r="AL99" i="2" s="1"/>
  <c r="AL101" i="2" s="1"/>
  <c r="L154" i="2"/>
  <c r="L109" i="2"/>
  <c r="L96" i="2"/>
  <c r="L140" i="2"/>
  <c r="L44" i="2"/>
  <c r="L55" i="2"/>
  <c r="L1" i="2"/>
  <c r="M2" i="2"/>
  <c r="BY154" i="2"/>
  <c r="BY140" i="2"/>
  <c r="BY96" i="2"/>
  <c r="BY55" i="2"/>
  <c r="BY109" i="2"/>
  <c r="BY44" i="2"/>
  <c r="BY1" i="2"/>
  <c r="BG8" i="1"/>
  <c r="BH1" i="1"/>
  <c r="BG59" i="1"/>
  <c r="BG54" i="1"/>
  <c r="BF56" i="1"/>
  <c r="BF57" i="1" s="1"/>
  <c r="BF55" i="1"/>
  <c r="AE46" i="1"/>
  <c r="AF45" i="1"/>
  <c r="AN1" i="1"/>
  <c r="AM8" i="1"/>
  <c r="AL59" i="1"/>
  <c r="AP60" i="1" s="1"/>
  <c r="BE64" i="1"/>
  <c r="J56" i="1"/>
  <c r="J57" i="1" s="1"/>
  <c r="I55" i="1"/>
  <c r="I52" i="1"/>
  <c r="I53" i="1" s="1"/>
  <c r="I60" i="1"/>
  <c r="I61" i="1"/>
  <c r="I62" i="1" s="1"/>
  <c r="I64" i="1" s="1"/>
  <c r="AK61" i="1"/>
  <c r="AK60" i="1"/>
  <c r="AL48" i="1"/>
  <c r="AK50" i="1"/>
  <c r="J54" i="1"/>
  <c r="J59" i="1"/>
  <c r="BF61" i="1"/>
  <c r="BF62" i="1" s="1"/>
  <c r="BF60" i="1"/>
  <c r="K8" i="1"/>
  <c r="L1" i="1"/>
  <c r="AK62" i="1" l="1"/>
  <c r="AO62" i="1"/>
  <c r="CA2" i="2"/>
  <c r="M154" i="2"/>
  <c r="M96" i="2"/>
  <c r="M140" i="2"/>
  <c r="M44" i="2"/>
  <c r="M109" i="2"/>
  <c r="M1" i="2"/>
  <c r="N2" i="2"/>
  <c r="M55" i="2"/>
  <c r="AM84" i="2"/>
  <c r="AM99" i="2" s="1"/>
  <c r="AM101" i="2" s="1"/>
  <c r="AN83" i="2"/>
  <c r="AL61" i="1"/>
  <c r="AL60" i="1"/>
  <c r="AM59" i="1"/>
  <c r="AQ60" i="1" s="1"/>
  <c r="L8" i="1"/>
  <c r="M1" i="1"/>
  <c r="K54" i="1"/>
  <c r="K59" i="1"/>
  <c r="BF64" i="1"/>
  <c r="AM48" i="1"/>
  <c r="AL50" i="1"/>
  <c r="BG55" i="1"/>
  <c r="BG56" i="1"/>
  <c r="BG57" i="1" s="1"/>
  <c r="BG60" i="1"/>
  <c r="BG61" i="1"/>
  <c r="BG62" i="1" s="1"/>
  <c r="AN8" i="1"/>
  <c r="AO1" i="1"/>
  <c r="AS60" i="1" s="1"/>
  <c r="AF46" i="1"/>
  <c r="AG45" i="1"/>
  <c r="J61" i="1"/>
  <c r="J62" i="1" s="1"/>
  <c r="J64" i="1" s="1"/>
  <c r="J60" i="1"/>
  <c r="K56" i="1"/>
  <c r="K57" i="1" s="1"/>
  <c r="J55" i="1"/>
  <c r="J52" i="1"/>
  <c r="J53" i="1" s="1"/>
  <c r="BH8" i="1"/>
  <c r="BH59" i="1"/>
  <c r="BI1" i="1"/>
  <c r="BH54" i="1"/>
  <c r="AL62" i="1" l="1"/>
  <c r="AP62" i="1"/>
  <c r="N154" i="2"/>
  <c r="N140" i="2"/>
  <c r="N44" i="2"/>
  <c r="N109" i="2"/>
  <c r="N96" i="2"/>
  <c r="N55" i="2"/>
  <c r="N1" i="2"/>
  <c r="O2" i="2"/>
  <c r="AN84" i="2"/>
  <c r="CA140" i="2"/>
  <c r="CA154" i="2"/>
  <c r="CA96" i="2"/>
  <c r="CA55" i="2"/>
  <c r="CA109" i="2"/>
  <c r="CB2" i="2"/>
  <c r="CA1" i="2"/>
  <c r="CA44" i="2"/>
  <c r="K61" i="1"/>
  <c r="K62" i="1" s="1"/>
  <c r="K64" i="1" s="1"/>
  <c r="K60" i="1"/>
  <c r="BI8" i="1"/>
  <c r="BJ1" i="1"/>
  <c r="BI59" i="1"/>
  <c r="BI54" i="1"/>
  <c r="BH61" i="1"/>
  <c r="BH62" i="1" s="1"/>
  <c r="BH60" i="1"/>
  <c r="AN59" i="1"/>
  <c r="AR60" i="1" s="1"/>
  <c r="L59" i="1"/>
  <c r="L54" i="1"/>
  <c r="BG64" i="1"/>
  <c r="AM61" i="1"/>
  <c r="AM60" i="1"/>
  <c r="BH55" i="1"/>
  <c r="BH56" i="1"/>
  <c r="BH57" i="1" s="1"/>
  <c r="K55" i="1"/>
  <c r="L56" i="1"/>
  <c r="L57" i="1" s="1"/>
  <c r="K52" i="1"/>
  <c r="K53" i="1" s="1"/>
  <c r="AN48" i="1"/>
  <c r="AM50" i="1"/>
  <c r="M8" i="1"/>
  <c r="N1" i="1"/>
  <c r="AG46" i="1"/>
  <c r="AH45" i="1"/>
  <c r="BH64" i="1" l="1"/>
  <c r="AM62" i="1"/>
  <c r="AQ62" i="1"/>
  <c r="AS62" i="1"/>
  <c r="CB154" i="2"/>
  <c r="CB140" i="2"/>
  <c r="CB96" i="2"/>
  <c r="CB109" i="2"/>
  <c r="CB55" i="2"/>
  <c r="CB1" i="2"/>
  <c r="CC2" i="2"/>
  <c r="CB44" i="2"/>
  <c r="AN99" i="2"/>
  <c r="AN101" i="2" s="1"/>
  <c r="O140" i="2"/>
  <c r="O154" i="2"/>
  <c r="O44" i="2"/>
  <c r="O109" i="2"/>
  <c r="O96" i="2"/>
  <c r="O1" i="2"/>
  <c r="O55" i="2"/>
  <c r="P2" i="2"/>
  <c r="BI56" i="1"/>
  <c r="BI57" i="1" s="1"/>
  <c r="BI55" i="1"/>
  <c r="BI61" i="1"/>
  <c r="BI62" i="1" s="1"/>
  <c r="BI60" i="1"/>
  <c r="L61" i="1"/>
  <c r="L62" i="1" s="1"/>
  <c r="L64" i="1" s="1"/>
  <c r="L60" i="1"/>
  <c r="N8" i="1"/>
  <c r="O1" i="1"/>
  <c r="BJ8" i="1"/>
  <c r="BJ59" i="1"/>
  <c r="BK1" i="1"/>
  <c r="BJ54" i="1"/>
  <c r="AH46" i="1"/>
  <c r="AI45" i="1"/>
  <c r="AN60" i="1"/>
  <c r="AN61" i="1"/>
  <c r="L55" i="1"/>
  <c r="M56" i="1"/>
  <c r="M57" i="1" s="1"/>
  <c r="M59" i="1"/>
  <c r="M54" i="1"/>
  <c r="AN50" i="1"/>
  <c r="L52" i="1"/>
  <c r="L53" i="1" s="1"/>
  <c r="AN62" i="1" l="1"/>
  <c r="AR62" i="1"/>
  <c r="CC140" i="2"/>
  <c r="CC154" i="2"/>
  <c r="CC96" i="2"/>
  <c r="CC109" i="2"/>
  <c r="CC44" i="2"/>
  <c r="CD2" i="2"/>
  <c r="CC1" i="2"/>
  <c r="CC55" i="2"/>
  <c r="P154" i="2"/>
  <c r="P140" i="2"/>
  <c r="P109" i="2"/>
  <c r="P96" i="2"/>
  <c r="P55" i="2"/>
  <c r="P44" i="2"/>
  <c r="Q2" i="2"/>
  <c r="P1" i="2"/>
  <c r="BI64" i="1"/>
  <c r="BJ56" i="1"/>
  <c r="BJ57" i="1" s="1"/>
  <c r="BJ55" i="1"/>
  <c r="BL1" i="1"/>
  <c r="BK59" i="1"/>
  <c r="BK8" i="1"/>
  <c r="BK54" i="1"/>
  <c r="BJ60" i="1"/>
  <c r="BJ61" i="1"/>
  <c r="BJ62" i="1" s="1"/>
  <c r="M52" i="1"/>
  <c r="M53" i="1" s="1"/>
  <c r="N59" i="1"/>
  <c r="O8" i="1"/>
  <c r="P1" i="1"/>
  <c r="N56" i="1"/>
  <c r="N57" i="1" s="1"/>
  <c r="M55" i="1"/>
  <c r="AI46" i="1"/>
  <c r="AJ45" i="1"/>
  <c r="M61" i="1"/>
  <c r="M62" i="1" s="1"/>
  <c r="M64" i="1" s="1"/>
  <c r="M60" i="1"/>
  <c r="CD140" i="2" l="1"/>
  <c r="CD96" i="2"/>
  <c r="CD109" i="2"/>
  <c r="CD44" i="2"/>
  <c r="CD55" i="2"/>
  <c r="CD154" i="2"/>
  <c r="CD1" i="2"/>
  <c r="Q109" i="2"/>
  <c r="Q154" i="2"/>
  <c r="Q140" i="2"/>
  <c r="Q96" i="2"/>
  <c r="Q55" i="2"/>
  <c r="R2" i="2"/>
  <c r="Q1" i="2"/>
  <c r="Q44" i="2"/>
  <c r="BK61" i="1"/>
  <c r="BL60" i="1"/>
  <c r="BK60" i="1"/>
  <c r="N52" i="1"/>
  <c r="N53" i="1" s="1"/>
  <c r="O59" i="1"/>
  <c r="BL8" i="1"/>
  <c r="BM1" i="1"/>
  <c r="BL54" i="1"/>
  <c r="P8" i="1"/>
  <c r="Q1" i="1"/>
  <c r="N60" i="1"/>
  <c r="N61" i="1"/>
  <c r="N62" i="1" s="1"/>
  <c r="N64" i="1" s="1"/>
  <c r="BJ64" i="1"/>
  <c r="BK55" i="1"/>
  <c r="BK56" i="1"/>
  <c r="BK57" i="1" s="1"/>
  <c r="AJ46" i="1"/>
  <c r="AK45" i="1"/>
  <c r="R154" i="2" l="1"/>
  <c r="R96" i="2"/>
  <c r="R55" i="2"/>
  <c r="R44" i="2"/>
  <c r="R1" i="2"/>
  <c r="R140" i="2"/>
  <c r="R109" i="2"/>
  <c r="S2" i="2"/>
  <c r="O60" i="1"/>
  <c r="O61" i="1"/>
  <c r="O62" i="1" s="1"/>
  <c r="Q8" i="1"/>
  <c r="R1" i="1"/>
  <c r="P59" i="1"/>
  <c r="BL62" i="1"/>
  <c r="BK62" i="1"/>
  <c r="BL55" i="1"/>
  <c r="BL56" i="1"/>
  <c r="BL57" i="1" s="1"/>
  <c r="BK64" i="1"/>
  <c r="AL45" i="1"/>
  <c r="AK46" i="1"/>
  <c r="BM8" i="1"/>
  <c r="BM54" i="1"/>
  <c r="BN1" i="1"/>
  <c r="S140" i="2" l="1"/>
  <c r="S154" i="2"/>
  <c r="S109" i="2"/>
  <c r="S55" i="2"/>
  <c r="S96" i="2"/>
  <c r="T2" i="2"/>
  <c r="S1" i="2"/>
  <c r="S44" i="2"/>
  <c r="BL64" i="1"/>
  <c r="S1" i="1"/>
  <c r="R8" i="1"/>
  <c r="AM45" i="1"/>
  <c r="AL46" i="1"/>
  <c r="BO1" i="1"/>
  <c r="BN8" i="1"/>
  <c r="BN59" i="1"/>
  <c r="BN54" i="1"/>
  <c r="BM56" i="1"/>
  <c r="BM57" i="1" s="1"/>
  <c r="BM64" i="1" s="1"/>
  <c r="BM55" i="1"/>
  <c r="Q59" i="1"/>
  <c r="P61" i="1"/>
  <c r="P62" i="1" s="1"/>
  <c r="P60" i="1"/>
  <c r="T154" i="2" l="1"/>
  <c r="T140" i="2"/>
  <c r="T55" i="2"/>
  <c r="T44" i="2"/>
  <c r="T1" i="2"/>
  <c r="U2" i="2"/>
  <c r="T109" i="2"/>
  <c r="T96" i="2"/>
  <c r="BP1" i="1"/>
  <c r="BO8" i="1"/>
  <c r="BO59" i="1"/>
  <c r="BO54" i="1"/>
  <c r="BN56" i="1"/>
  <c r="BN57" i="1" s="1"/>
  <c r="BN55" i="1"/>
  <c r="AN45" i="1"/>
  <c r="AM46" i="1"/>
  <c r="R59" i="1"/>
  <c r="Q61" i="1"/>
  <c r="Q62" i="1" s="1"/>
  <c r="Q60" i="1"/>
  <c r="T1" i="1"/>
  <c r="S8" i="1"/>
  <c r="BN60" i="1"/>
  <c r="BN61" i="1"/>
  <c r="BN62" i="1" s="1"/>
  <c r="U140" i="2" l="1"/>
  <c r="U109" i="2"/>
  <c r="U96" i="2"/>
  <c r="U55" i="2"/>
  <c r="U44" i="2"/>
  <c r="U1" i="2"/>
  <c r="U154" i="2"/>
  <c r="V2" i="2"/>
  <c r="BN64" i="1"/>
  <c r="AN46" i="1"/>
  <c r="BO56" i="1"/>
  <c r="BO57" i="1" s="1"/>
  <c r="BO55" i="1"/>
  <c r="R61" i="1"/>
  <c r="R62" i="1" s="1"/>
  <c r="R60" i="1"/>
  <c r="S59" i="1"/>
  <c r="T8" i="1"/>
  <c r="U1" i="1"/>
  <c r="BO61" i="1"/>
  <c r="BO62" i="1" s="1"/>
  <c r="BO60" i="1"/>
  <c r="BP8" i="1"/>
  <c r="BQ1" i="1"/>
  <c r="BP59" i="1"/>
  <c r="BP54" i="1"/>
  <c r="BO64" i="1" l="1"/>
  <c r="V140" i="2"/>
  <c r="V109" i="2"/>
  <c r="V96" i="2"/>
  <c r="V154" i="2"/>
  <c r="V55" i="2"/>
  <c r="W2" i="2"/>
  <c r="V44" i="2"/>
  <c r="V1" i="2"/>
  <c r="T59" i="1"/>
  <c r="V1" i="1"/>
  <c r="U8" i="1"/>
  <c r="BR1" i="1"/>
  <c r="BQ8" i="1"/>
  <c r="BQ59" i="1"/>
  <c r="BQ54" i="1"/>
  <c r="BP61" i="1"/>
  <c r="BP62" i="1" s="1"/>
  <c r="BP60" i="1"/>
  <c r="BP56" i="1"/>
  <c r="BP57" i="1" s="1"/>
  <c r="BP55" i="1"/>
  <c r="S61" i="1"/>
  <c r="S62" i="1" s="1"/>
  <c r="S60" i="1"/>
  <c r="W109" i="2" l="1"/>
  <c r="W96" i="2"/>
  <c r="W140" i="2"/>
  <c r="W154" i="2"/>
  <c r="X2" i="2"/>
  <c r="W44" i="2"/>
  <c r="W55" i="2"/>
  <c r="W1" i="2"/>
  <c r="BR8" i="1"/>
  <c r="BS1" i="1"/>
  <c r="BR59" i="1"/>
  <c r="BR54" i="1"/>
  <c r="V8" i="1"/>
  <c r="W1" i="1"/>
  <c r="BQ60" i="1"/>
  <c r="BQ61" i="1"/>
  <c r="BQ62" i="1" s="1"/>
  <c r="BP52" i="1"/>
  <c r="BP53" i="1" s="1"/>
  <c r="BP64" i="1"/>
  <c r="T61" i="1"/>
  <c r="T62" i="1" s="1"/>
  <c r="T60" i="1"/>
  <c r="BQ56" i="1"/>
  <c r="BQ57" i="1" s="1"/>
  <c r="BQ55" i="1"/>
  <c r="U59" i="1"/>
  <c r="X154" i="2" l="1"/>
  <c r="X109" i="2"/>
  <c r="X96" i="2"/>
  <c r="X140" i="2"/>
  <c r="X44" i="2"/>
  <c r="Y2" i="2"/>
  <c r="X55" i="2"/>
  <c r="X1" i="2"/>
  <c r="V59" i="1"/>
  <c r="U60" i="1"/>
  <c r="U61" i="1"/>
  <c r="U62" i="1" s="1"/>
  <c r="BQ64" i="1"/>
  <c r="BQ52" i="1"/>
  <c r="BQ53" i="1" s="1"/>
  <c r="W8" i="1"/>
  <c r="X1" i="1"/>
  <c r="BR55" i="1"/>
  <c r="BR56" i="1"/>
  <c r="BR57" i="1" s="1"/>
  <c r="BR61" i="1"/>
  <c r="BR62" i="1" s="1"/>
  <c r="BR60" i="1"/>
  <c r="BS8" i="1"/>
  <c r="BT1" i="1"/>
  <c r="BS59" i="1"/>
  <c r="Y154" i="2" l="1"/>
  <c r="Y109" i="2"/>
  <c r="Y96" i="2"/>
  <c r="Y140" i="2"/>
  <c r="Y44" i="2"/>
  <c r="Z2" i="2"/>
  <c r="Y55" i="2"/>
  <c r="Y1" i="2"/>
  <c r="X8" i="1"/>
  <c r="Y1" i="1"/>
  <c r="BT8" i="1"/>
  <c r="BU1" i="1"/>
  <c r="BT59" i="1"/>
  <c r="BR52" i="1"/>
  <c r="BR53" i="1" s="1"/>
  <c r="BR64" i="1"/>
  <c r="BS61" i="1"/>
  <c r="BS62" i="1" s="1"/>
  <c r="BS60" i="1"/>
  <c r="W59" i="1"/>
  <c r="V61" i="1"/>
  <c r="V62" i="1" s="1"/>
  <c r="V60" i="1"/>
  <c r="Z154" i="2" l="1"/>
  <c r="Z140" i="2"/>
  <c r="Z44" i="2"/>
  <c r="Z109" i="2"/>
  <c r="Z55" i="2"/>
  <c r="Z96" i="2"/>
  <c r="AA2" i="2"/>
  <c r="Z1" i="2"/>
  <c r="BT61" i="1"/>
  <c r="BT62" i="1" s="1"/>
  <c r="BT60" i="1"/>
  <c r="BU98" i="1"/>
  <c r="BU8" i="1"/>
  <c r="BV1" i="1"/>
  <c r="BU59" i="1"/>
  <c r="Y8" i="1"/>
  <c r="Z1" i="1"/>
  <c r="W61" i="1"/>
  <c r="W62" i="1" s="1"/>
  <c r="W60" i="1"/>
  <c r="X59" i="1"/>
  <c r="AA140" i="2" l="1"/>
  <c r="AA154" i="2"/>
  <c r="AA44" i="2"/>
  <c r="AA109" i="2"/>
  <c r="AA55" i="2"/>
  <c r="AA1" i="2"/>
  <c r="AB2" i="2"/>
  <c r="AA96" i="2"/>
  <c r="BU60" i="1"/>
  <c r="BU61" i="1"/>
  <c r="BU62" i="1" s="1"/>
  <c r="Y59" i="1"/>
  <c r="AA1" i="1"/>
  <c r="Z8" i="1"/>
  <c r="AO7" i="2"/>
  <c r="AO14" i="2"/>
  <c r="X60" i="1"/>
  <c r="X61" i="1"/>
  <c r="X62" i="1" s="1"/>
  <c r="BV98" i="1"/>
  <c r="BV8" i="1"/>
  <c r="BW1" i="1"/>
  <c r="BV59" i="1"/>
  <c r="AB154" i="2" l="1"/>
  <c r="AB55" i="2"/>
  <c r="AB109" i="2"/>
  <c r="AB96" i="2"/>
  <c r="AB140" i="2"/>
  <c r="AB1" i="2"/>
  <c r="AC2" i="2"/>
  <c r="AB44" i="2"/>
  <c r="Z59" i="1"/>
  <c r="AB1" i="1"/>
  <c r="BW11" i="1" s="1"/>
  <c r="AA8" i="1"/>
  <c r="BW8" i="1"/>
  <c r="BX1" i="1"/>
  <c r="BW59" i="1"/>
  <c r="BW71" i="1"/>
  <c r="AO23" i="2"/>
  <c r="AO16" i="2"/>
  <c r="AO15" i="2"/>
  <c r="AC60" i="1"/>
  <c r="Y61" i="1"/>
  <c r="Y60" i="1"/>
  <c r="BV61" i="1"/>
  <c r="BV62" i="1" s="1"/>
  <c r="BV60" i="1"/>
  <c r="AO34" i="2" l="1"/>
  <c r="AO146" i="2"/>
  <c r="AO27" i="2"/>
  <c r="AO25" i="2"/>
  <c r="AQ25" i="2" s="1"/>
  <c r="AR25" i="2" s="1"/>
  <c r="AS25" i="2" s="1"/>
  <c r="AC109" i="2"/>
  <c r="AC140" i="2"/>
  <c r="AC154" i="2"/>
  <c r="AC55" i="2"/>
  <c r="AC96" i="2"/>
  <c r="AC44" i="2"/>
  <c r="AC1" i="2"/>
  <c r="AD2" i="2"/>
  <c r="BW22" i="1"/>
  <c r="BW67" i="1" s="1"/>
  <c r="BW68" i="1" s="1"/>
  <c r="AA59" i="1"/>
  <c r="AB8" i="1"/>
  <c r="BU17" i="1" s="1"/>
  <c r="BV22" i="1"/>
  <c r="BV71" i="1"/>
  <c r="BW73" i="1" s="1"/>
  <c r="BW75" i="1" s="1"/>
  <c r="BW72" i="1"/>
  <c r="BW61" i="1"/>
  <c r="BW62" i="1" s="1"/>
  <c r="BW60" i="1"/>
  <c r="Z61" i="1"/>
  <c r="Z60" i="1"/>
  <c r="AD60" i="1"/>
  <c r="Y62" i="1"/>
  <c r="AC62" i="1"/>
  <c r="AO17" i="2"/>
  <c r="BX8" i="1"/>
  <c r="BY1" i="1"/>
  <c r="BX11" i="1"/>
  <c r="BX12" i="1" s="1"/>
  <c r="BX14" i="1" s="1"/>
  <c r="BX59" i="1"/>
  <c r="BX22" i="1"/>
  <c r="BX81" i="1"/>
  <c r="BX78" i="1"/>
  <c r="BX71" i="1"/>
  <c r="BV11" i="1"/>
  <c r="BW12" i="1" s="1"/>
  <c r="BW14" i="1" s="1"/>
  <c r="BT17" i="1"/>
  <c r="BX82" i="1" l="1"/>
  <c r="AO28" i="2"/>
  <c r="AO165" i="2"/>
  <c r="AO37" i="2"/>
  <c r="AO114" i="2"/>
  <c r="AO163" i="2" s="1"/>
  <c r="AO161" i="2"/>
  <c r="AO31" i="2"/>
  <c r="AO35" i="2" s="1"/>
  <c r="AO97" i="2"/>
  <c r="AO101" i="2" s="1"/>
  <c r="AO43" i="2"/>
  <c r="AO155" i="2"/>
  <c r="AD154" i="2"/>
  <c r="AD140" i="2"/>
  <c r="AD55" i="2"/>
  <c r="AD96" i="2"/>
  <c r="AD109" i="2"/>
  <c r="AD1" i="2"/>
  <c r="AD44" i="2"/>
  <c r="AE2" i="2"/>
  <c r="BW78" i="1"/>
  <c r="BX17" i="1"/>
  <c r="BW23" i="1"/>
  <c r="BR17" i="1"/>
  <c r="BV23" i="1"/>
  <c r="BV67" i="1"/>
  <c r="BV68" i="1" s="1"/>
  <c r="BW24" i="1"/>
  <c r="AD62" i="1"/>
  <c r="Z62" i="1"/>
  <c r="BX73" i="1"/>
  <c r="BX72" i="1"/>
  <c r="BW17" i="1"/>
  <c r="BX79" i="1"/>
  <c r="BX84" i="1"/>
  <c r="BU18" i="1"/>
  <c r="BV78" i="1"/>
  <c r="BV17" i="1"/>
  <c r="BX67" i="1"/>
  <c r="BX68" i="1" s="1"/>
  <c r="BX69" i="1" s="1"/>
  <c r="BX27" i="1"/>
  <c r="BX24" i="1"/>
  <c r="BX23" i="1"/>
  <c r="BT18" i="1"/>
  <c r="BT19" i="1" s="1"/>
  <c r="BX61" i="1"/>
  <c r="BX62" i="1" s="1"/>
  <c r="BX60" i="1"/>
  <c r="BR18" i="1"/>
  <c r="AA60" i="1"/>
  <c r="AA61" i="1"/>
  <c r="AE60" i="1"/>
  <c r="AB59" i="1"/>
  <c r="BQ18" i="1"/>
  <c r="BS18" i="1"/>
  <c r="BS17" i="1"/>
  <c r="BS19" i="1" s="1"/>
  <c r="BV18" i="1"/>
  <c r="BQ17" i="1"/>
  <c r="BQ19" i="1" s="1"/>
  <c r="BX18" i="1"/>
  <c r="BW18" i="1"/>
  <c r="BY8" i="1"/>
  <c r="BY59" i="1"/>
  <c r="BZ60" i="1" s="1"/>
  <c r="BV72" i="1"/>
  <c r="AE140" i="2" l="1"/>
  <c r="AE154" i="2"/>
  <c r="AF2" i="2"/>
  <c r="AE55" i="2"/>
  <c r="AE109" i="2"/>
  <c r="AE44" i="2"/>
  <c r="AE96" i="2"/>
  <c r="AE1" i="2"/>
  <c r="BX19" i="1"/>
  <c r="BW79" i="1"/>
  <c r="BW69" i="1"/>
  <c r="BV79" i="1"/>
  <c r="BU39" i="1"/>
  <c r="BX28" i="1"/>
  <c r="BV39" i="1"/>
  <c r="BY61" i="1"/>
  <c r="BY60" i="1"/>
  <c r="BY73" i="1"/>
  <c r="BY72" i="1"/>
  <c r="BX39" i="1"/>
  <c r="CA1" i="1"/>
  <c r="BX85" i="1"/>
  <c r="BY12" i="1"/>
  <c r="BY14" i="1" s="1"/>
  <c r="AA62" i="1"/>
  <c r="AE62" i="1"/>
  <c r="AB61" i="1"/>
  <c r="AB60" i="1"/>
  <c r="AF60" i="1"/>
  <c r="BV19" i="1"/>
  <c r="AO107" i="2"/>
  <c r="AP129" i="2"/>
  <c r="BR19" i="1"/>
  <c r="BY82" i="1"/>
  <c r="BW39" i="1"/>
  <c r="BW19" i="1"/>
  <c r="BU19" i="1"/>
  <c r="BY62" i="1" l="1"/>
  <c r="BZ62" i="1"/>
  <c r="AF154" i="2"/>
  <c r="AF109" i="2"/>
  <c r="AF140" i="2"/>
  <c r="AF55" i="2"/>
  <c r="AF96" i="2"/>
  <c r="AF1" i="2"/>
  <c r="AF44" i="2"/>
  <c r="AG2" i="2"/>
  <c r="CA59" i="1"/>
  <c r="CA11" i="1"/>
  <c r="CA71" i="1"/>
  <c r="AP18" i="2"/>
  <c r="CB1" i="1"/>
  <c r="CA8" i="1"/>
  <c r="AB62" i="1"/>
  <c r="AF62" i="1"/>
  <c r="AG140" i="2" l="1"/>
  <c r="AG96" i="2"/>
  <c r="AG55" i="2"/>
  <c r="AG154" i="2"/>
  <c r="AG1" i="2"/>
  <c r="AH2" i="2"/>
  <c r="AG109" i="2"/>
  <c r="AG44" i="2"/>
  <c r="M3" i="13"/>
  <c r="AO41" i="2"/>
  <c r="CA8" i="2"/>
  <c r="CA72" i="1"/>
  <c r="CB71" i="1"/>
  <c r="M8" i="13"/>
  <c r="CB59" i="1"/>
  <c r="CA60" i="1"/>
  <c r="CA61" i="1"/>
  <c r="CA62" i="1" s="1"/>
  <c r="CB8" i="1"/>
  <c r="CC1" i="1"/>
  <c r="CB11" i="1"/>
  <c r="CA3" i="2"/>
  <c r="AH140" i="2" l="1"/>
  <c r="AH96" i="2"/>
  <c r="AH154" i="2"/>
  <c r="AH109" i="2"/>
  <c r="AH44" i="2"/>
  <c r="AH55" i="2"/>
  <c r="AI2" i="2"/>
  <c r="AH1" i="2"/>
  <c r="CB61" i="1"/>
  <c r="CB62" i="1" s="1"/>
  <c r="CB60" i="1"/>
  <c r="CC59" i="1"/>
  <c r="CA9" i="2"/>
  <c r="CA13" i="2"/>
  <c r="N8" i="13"/>
  <c r="CA4" i="2"/>
  <c r="CA133" i="2"/>
  <c r="CA33" i="2"/>
  <c r="N3" i="13"/>
  <c r="N4" i="13" s="1"/>
  <c r="CC11" i="1"/>
  <c r="CB3" i="2"/>
  <c r="CD1" i="1"/>
  <c r="CD8" i="1" s="1"/>
  <c r="CC8" i="1"/>
  <c r="CC71" i="1"/>
  <c r="CB8" i="2"/>
  <c r="CB72" i="1"/>
  <c r="AI96" i="2" l="1"/>
  <c r="AI154" i="2"/>
  <c r="AI109" i="2"/>
  <c r="AI140" i="2"/>
  <c r="AJ2" i="2"/>
  <c r="AI44" i="2"/>
  <c r="AI55" i="2"/>
  <c r="AI1" i="2"/>
  <c r="CC60" i="1"/>
  <c r="CD59" i="1"/>
  <c r="CC61" i="1"/>
  <c r="CC62" i="1" s="1"/>
  <c r="CD71" i="1"/>
  <c r="CC8" i="2"/>
  <c r="CC72" i="1"/>
  <c r="CA138" i="2"/>
  <c r="CA105" i="2"/>
  <c r="CB33" i="2"/>
  <c r="CB133" i="2"/>
  <c r="CB4" i="2"/>
  <c r="O3" i="13"/>
  <c r="O4" i="13" s="1"/>
  <c r="CC3" i="2"/>
  <c r="CD11" i="1"/>
  <c r="CD3" i="2" s="1"/>
  <c r="M39" i="13"/>
  <c r="CB13" i="2"/>
  <c r="CB9" i="2"/>
  <c r="O8" i="13"/>
  <c r="AJ154" i="2" l="1"/>
  <c r="AJ96" i="2"/>
  <c r="AJ109" i="2"/>
  <c r="AJ140" i="2"/>
  <c r="AJ44" i="2"/>
  <c r="AK2" i="2"/>
  <c r="AJ55" i="2"/>
  <c r="AJ1" i="2"/>
  <c r="CC4" i="2"/>
  <c r="CC133" i="2"/>
  <c r="P3" i="13"/>
  <c r="P4" i="13" s="1"/>
  <c r="CC33" i="2"/>
  <c r="N39" i="13"/>
  <c r="CA106" i="2"/>
  <c r="CC9" i="2"/>
  <c r="CC13" i="2"/>
  <c r="P8" i="13"/>
  <c r="CD72" i="1"/>
  <c r="CD8" i="2"/>
  <c r="CB105" i="2"/>
  <c r="CB138" i="2"/>
  <c r="CD61" i="1"/>
  <c r="CD62" i="1" s="1"/>
  <c r="CD60" i="1"/>
  <c r="CD133" i="2"/>
  <c r="Q3" i="13"/>
  <c r="Q4" i="13" s="1"/>
  <c r="CD33" i="2"/>
  <c r="CD4" i="2"/>
  <c r="AK140" i="2" l="1"/>
  <c r="AK154" i="2"/>
  <c r="AK96" i="2"/>
  <c r="AK109" i="2"/>
  <c r="AK44" i="2"/>
  <c r="AL2" i="2"/>
  <c r="AK1" i="2"/>
  <c r="AK55" i="2"/>
  <c r="BQ65" i="2"/>
  <c r="BQ67" i="2"/>
  <c r="BQ72" i="2" s="1"/>
  <c r="BQ88" i="2"/>
  <c r="BQ30" i="2"/>
  <c r="BQ61" i="2"/>
  <c r="BQ82" i="2"/>
  <c r="BQ142" i="2" s="1"/>
  <c r="BQ87" i="2"/>
  <c r="BQ83" i="2"/>
  <c r="BR61" i="2"/>
  <c r="BQ75" i="2"/>
  <c r="BQ84" i="2"/>
  <c r="BQ76" i="2"/>
  <c r="BR87" i="2"/>
  <c r="BQ78" i="2"/>
  <c r="BR65" i="2"/>
  <c r="BQ59" i="2"/>
  <c r="BQ56" i="2"/>
  <c r="BQ57" i="2"/>
  <c r="BQ70" i="2"/>
  <c r="BP30" i="2"/>
  <c r="BR83" i="2"/>
  <c r="BR84" i="2"/>
  <c r="BR67" i="2"/>
  <c r="BR76" i="2"/>
  <c r="BS59" i="2"/>
  <c r="BR56" i="2"/>
  <c r="BS65" i="2"/>
  <c r="BS82" i="2"/>
  <c r="BS142" i="2" s="1"/>
  <c r="BS78" i="2"/>
  <c r="BR82" i="2"/>
  <c r="BR142" i="2" s="1"/>
  <c r="BR59" i="2"/>
  <c r="BS61" i="2"/>
  <c r="BS70" i="2"/>
  <c r="BR30" i="2"/>
  <c r="BR78" i="2"/>
  <c r="BS67" i="2"/>
  <c r="BS72" i="2" s="1"/>
  <c r="BR57" i="2"/>
  <c r="BT83" i="2"/>
  <c r="BR75" i="2"/>
  <c r="BT82" i="2"/>
  <c r="BT142" i="2" s="1"/>
  <c r="BR70" i="2"/>
  <c r="BS75" i="2"/>
  <c r="BS83" i="2"/>
  <c r="BS76" i="2"/>
  <c r="BS84" i="2"/>
  <c r="BT61" i="2"/>
  <c r="BS56" i="2"/>
  <c r="BS30" i="2"/>
  <c r="BT87" i="2"/>
  <c r="BR88" i="2"/>
  <c r="BS88" i="2"/>
  <c r="BU67" i="2"/>
  <c r="BS57" i="2"/>
  <c r="BS87" i="2"/>
  <c r="BT30" i="2"/>
  <c r="BT59" i="2"/>
  <c r="BU84" i="2"/>
  <c r="BT57" i="2"/>
  <c r="BU57" i="2"/>
  <c r="BV87" i="2"/>
  <c r="BT84" i="2"/>
  <c r="BU75" i="2"/>
  <c r="BU88" i="2"/>
  <c r="BT78" i="2"/>
  <c r="BU87" i="2"/>
  <c r="BU30" i="2"/>
  <c r="BT67" i="2"/>
  <c r="BT88" i="2"/>
  <c r="BU56" i="2"/>
  <c r="BV30" i="2"/>
  <c r="BU82" i="2"/>
  <c r="BU142" i="2" s="1"/>
  <c r="BV67" i="2"/>
  <c r="BT75" i="2"/>
  <c r="BT56" i="2"/>
  <c r="BU61" i="2"/>
  <c r="BU83" i="2"/>
  <c r="BT76" i="2"/>
  <c r="BW30" i="2"/>
  <c r="BU59" i="2"/>
  <c r="BV84" i="2"/>
  <c r="BW83" i="2"/>
  <c r="BU78" i="2"/>
  <c r="BV56" i="2"/>
  <c r="BW56" i="2"/>
  <c r="BV82" i="2"/>
  <c r="BV142" i="2" s="1"/>
  <c r="BV75" i="2"/>
  <c r="BW67" i="2"/>
  <c r="BV57" i="2"/>
  <c r="BW76" i="2"/>
  <c r="BW82" i="2"/>
  <c r="BW142" i="2" s="1"/>
  <c r="BU76" i="2"/>
  <c r="BW61" i="2"/>
  <c r="BV76" i="2"/>
  <c r="BW84" i="2"/>
  <c r="BW85" i="2" s="1"/>
  <c r="BW88" i="2"/>
  <c r="BW87" i="2"/>
  <c r="BV61" i="2"/>
  <c r="BW75" i="2"/>
  <c r="BV59" i="2"/>
  <c r="BV83" i="2"/>
  <c r="BV78" i="2"/>
  <c r="BV88" i="2"/>
  <c r="BW59" i="2"/>
  <c r="BW78" i="2"/>
  <c r="BW57" i="2"/>
  <c r="CD138" i="2"/>
  <c r="CD105" i="2"/>
  <c r="CD9" i="2"/>
  <c r="CD13" i="2"/>
  <c r="Q8" i="13"/>
  <c r="O39" i="13"/>
  <c r="CB106" i="2"/>
  <c r="CC105" i="2"/>
  <c r="CC138" i="2"/>
  <c r="BQ85" i="2" l="1"/>
  <c r="BR72" i="2"/>
  <c r="BR85" i="2"/>
  <c r="BS42" i="2"/>
  <c r="F26" i="13"/>
  <c r="BU141" i="2"/>
  <c r="BU124" i="2"/>
  <c r="BT85" i="2"/>
  <c r="BR99" i="2"/>
  <c r="E40" i="13" s="1"/>
  <c r="BR93" i="2"/>
  <c r="BQ81" i="1"/>
  <c r="BQ98" i="2"/>
  <c r="D38" i="13" s="1"/>
  <c r="BQ66" i="2"/>
  <c r="BS113" i="2"/>
  <c r="BS46" i="2"/>
  <c r="BU42" i="2"/>
  <c r="H26" i="13"/>
  <c r="BV141" i="2"/>
  <c r="BV124" i="2"/>
  <c r="BV63" i="2"/>
  <c r="BV130" i="2"/>
  <c r="BV144" i="2"/>
  <c r="BR80" i="2"/>
  <c r="BR90" i="2" s="1"/>
  <c r="BQ26" i="2"/>
  <c r="BQ10" i="2"/>
  <c r="BQ18" i="2"/>
  <c r="BQ11" i="2"/>
  <c r="BQ24" i="2"/>
  <c r="BQ102" i="2"/>
  <c r="BQ3" i="2"/>
  <c r="BQ5" i="2"/>
  <c r="BQ22" i="1" s="1"/>
  <c r="BS18" i="2"/>
  <c r="BR105" i="2"/>
  <c r="BQ12" i="2"/>
  <c r="BQ19" i="2"/>
  <c r="BS3" i="2"/>
  <c r="BS60" i="2" s="1"/>
  <c r="BR3" i="2"/>
  <c r="BS5" i="2"/>
  <c r="BS22" i="1" s="1"/>
  <c r="BQ105" i="2"/>
  <c r="BS102" i="2"/>
  <c r="BS11" i="2"/>
  <c r="BR10" i="2"/>
  <c r="BR11" i="2"/>
  <c r="BS10" i="2"/>
  <c r="BS105" i="2"/>
  <c r="BS12" i="2"/>
  <c r="BR12" i="2"/>
  <c r="BR18" i="2"/>
  <c r="BS26" i="2"/>
  <c r="BR19" i="2"/>
  <c r="BS24" i="2"/>
  <c r="BR26" i="2"/>
  <c r="BT19" i="2"/>
  <c r="BT11" i="2"/>
  <c r="BR5" i="2"/>
  <c r="BR22" i="1" s="1"/>
  <c r="BR102" i="2"/>
  <c r="BT24" i="2"/>
  <c r="BS19" i="2"/>
  <c r="BR24" i="2"/>
  <c r="BT26" i="2"/>
  <c r="BT10" i="2"/>
  <c r="BU102" i="2"/>
  <c r="BT102" i="2"/>
  <c r="BV105" i="2"/>
  <c r="BU12" i="2"/>
  <c r="BV24" i="2"/>
  <c r="BU19" i="2"/>
  <c r="BT12" i="2"/>
  <c r="BT5" i="2"/>
  <c r="BT22" i="1" s="1"/>
  <c r="BT3" i="2"/>
  <c r="BT60" i="2" s="1"/>
  <c r="BU26" i="2"/>
  <c r="BT105" i="2"/>
  <c r="BU10" i="2"/>
  <c r="BV10" i="2"/>
  <c r="BV102" i="2"/>
  <c r="BU3" i="2"/>
  <c r="BU24" i="2"/>
  <c r="BW18" i="2"/>
  <c r="BV3" i="2"/>
  <c r="BV62" i="2" s="1"/>
  <c r="BV5" i="2"/>
  <c r="BV79" i="2" s="1"/>
  <c r="BU11" i="2"/>
  <c r="BT18" i="2"/>
  <c r="BU105" i="2"/>
  <c r="BW19" i="2"/>
  <c r="BW10" i="2"/>
  <c r="BV19" i="2"/>
  <c r="BU5" i="2"/>
  <c r="BU22" i="1" s="1"/>
  <c r="BV11" i="2"/>
  <c r="BW102" i="2"/>
  <c r="BV18" i="2"/>
  <c r="BW24" i="2"/>
  <c r="BW11" i="2"/>
  <c r="BV12" i="2"/>
  <c r="BW5" i="2"/>
  <c r="BW79" i="2" s="1"/>
  <c r="BV26" i="2"/>
  <c r="BU18" i="2"/>
  <c r="BW12" i="2"/>
  <c r="BW105" i="2"/>
  <c r="BW3" i="2"/>
  <c r="BW62" i="2" s="1"/>
  <c r="BW26" i="2"/>
  <c r="BS81" i="1"/>
  <c r="BS98" i="2"/>
  <c r="F38" i="13" s="1"/>
  <c r="BS66" i="2"/>
  <c r="BT144" i="2"/>
  <c r="BT130" i="2"/>
  <c r="BT141" i="2"/>
  <c r="BT143" i="2" s="1"/>
  <c r="BT124" i="2"/>
  <c r="BV113" i="2"/>
  <c r="BV46" i="2"/>
  <c r="BT99" i="2"/>
  <c r="G40" i="13" s="1"/>
  <c r="BT93" i="2"/>
  <c r="BT94" i="2" s="1"/>
  <c r="BT63" i="2"/>
  <c r="BR113" i="2"/>
  <c r="BR46" i="2"/>
  <c r="BQ141" i="2"/>
  <c r="BQ143" i="2" s="1"/>
  <c r="BQ124" i="2"/>
  <c r="BQ125" i="2" s="1"/>
  <c r="AL140" i="2"/>
  <c r="AL154" i="2"/>
  <c r="AL96" i="2"/>
  <c r="AL55" i="2"/>
  <c r="AL44" i="2"/>
  <c r="AM2" i="2"/>
  <c r="AL1" i="2"/>
  <c r="AL109" i="2"/>
  <c r="BR141" i="2"/>
  <c r="BR143" i="2" s="1"/>
  <c r="BR124" i="2"/>
  <c r="BR144" i="2"/>
  <c r="BR130" i="2"/>
  <c r="BU93" i="2"/>
  <c r="BU94" i="2" s="1"/>
  <c r="BU99" i="2"/>
  <c r="H40" i="13" s="1"/>
  <c r="BU58" i="2"/>
  <c r="BU80" i="2"/>
  <c r="BW93" i="2"/>
  <c r="BW94" i="2" s="1"/>
  <c r="BW99" i="2"/>
  <c r="J40" i="13" s="1"/>
  <c r="BU144" i="2"/>
  <c r="BU130" i="2"/>
  <c r="BU85" i="2"/>
  <c r="BS85" i="2"/>
  <c r="BS68" i="2"/>
  <c r="BR63" i="2"/>
  <c r="BR73" i="2" s="1"/>
  <c r="BS159" i="2" s="1"/>
  <c r="BR62" i="2"/>
  <c r="BW124" i="2"/>
  <c r="BW141" i="2"/>
  <c r="BW143" i="2" s="1"/>
  <c r="BV143" i="2"/>
  <c r="BS144" i="2"/>
  <c r="BS130" i="2"/>
  <c r="BW80" i="2"/>
  <c r="BW90" i="2" s="1"/>
  <c r="BW63" i="2"/>
  <c r="BV85" i="2"/>
  <c r="BT42" i="2"/>
  <c r="G26" i="13"/>
  <c r="BS63" i="2"/>
  <c r="BS73" i="2" s="1"/>
  <c r="BT159" i="2" s="1"/>
  <c r="BP42" i="2"/>
  <c r="BP32" i="2"/>
  <c r="BP46" i="2"/>
  <c r="BP31" i="2"/>
  <c r="BP35" i="2" s="1"/>
  <c r="BR81" i="1"/>
  <c r="BR98" i="2"/>
  <c r="E38" i="13" s="1"/>
  <c r="BR66" i="2"/>
  <c r="BR137" i="2"/>
  <c r="BQ79" i="2"/>
  <c r="BQ80" i="2"/>
  <c r="BQ90" i="2" s="1"/>
  <c r="BU143" i="2"/>
  <c r="BT113" i="2"/>
  <c r="BT46" i="2"/>
  <c r="BR60" i="2"/>
  <c r="BQ68" i="2"/>
  <c r="BU62" i="2"/>
  <c r="BU63" i="2"/>
  <c r="BW42" i="2"/>
  <c r="J26" i="13"/>
  <c r="BV42" i="2"/>
  <c r="I26" i="13"/>
  <c r="BW113" i="2"/>
  <c r="BW46" i="2"/>
  <c r="BU113" i="2"/>
  <c r="BU46" i="2"/>
  <c r="BS141" i="2"/>
  <c r="BS143" i="2" s="1"/>
  <c r="BS124" i="2"/>
  <c r="BS125" i="2" s="1"/>
  <c r="BQ58" i="2"/>
  <c r="BQ99" i="2"/>
  <c r="D40" i="13" s="1"/>
  <c r="BQ93" i="2"/>
  <c r="BV60" i="2"/>
  <c r="BQ42" i="2"/>
  <c r="D26" i="13"/>
  <c r="BR42" i="2"/>
  <c r="E26" i="13"/>
  <c r="BW144" i="2"/>
  <c r="BW130" i="2"/>
  <c r="BV80" i="2"/>
  <c r="BS99" i="2"/>
  <c r="F40" i="13" s="1"/>
  <c r="BS93" i="2"/>
  <c r="BR68" i="2"/>
  <c r="BS79" i="2"/>
  <c r="BS80" i="2"/>
  <c r="BQ144" i="2"/>
  <c r="BQ130" i="2"/>
  <c r="BQ63" i="2"/>
  <c r="BQ73" i="2" s="1"/>
  <c r="BQ62" i="2"/>
  <c r="BV93" i="2"/>
  <c r="BV94" i="2" s="1"/>
  <c r="BV99" i="2"/>
  <c r="I40" i="13" s="1"/>
  <c r="BT80" i="2"/>
  <c r="BQ60" i="2"/>
  <c r="BQ32" i="2"/>
  <c r="BQ46" i="2"/>
  <c r="CC106" i="2"/>
  <c r="P39" i="13"/>
  <c r="CD106" i="2"/>
  <c r="Q39" i="13"/>
  <c r="BU90" i="2" l="1"/>
  <c r="BV77" i="2"/>
  <c r="BW77" i="2"/>
  <c r="BV58" i="2"/>
  <c r="BT62" i="2"/>
  <c r="BS137" i="2"/>
  <c r="BR8" i="2"/>
  <c r="E8" i="13" s="1"/>
  <c r="BS62" i="2"/>
  <c r="BT58" i="2"/>
  <c r="BS58" i="2"/>
  <c r="BV90" i="2"/>
  <c r="BW8" i="2"/>
  <c r="BW13" i="2" s="1"/>
  <c r="BT8" i="2"/>
  <c r="G8" i="13" s="1"/>
  <c r="E44" i="13"/>
  <c r="BR145" i="2"/>
  <c r="F44" i="13"/>
  <c r="BS145" i="2"/>
  <c r="BR159" i="2"/>
  <c r="BQ159" i="2"/>
  <c r="BQ91" i="2"/>
  <c r="BW100" i="2"/>
  <c r="BU115" i="2"/>
  <c r="BU116" i="2"/>
  <c r="BU32" i="2"/>
  <c r="BU52" i="2"/>
  <c r="BS90" i="2"/>
  <c r="BS91" i="2" s="1"/>
  <c r="BV47" i="2"/>
  <c r="BV50" i="2"/>
  <c r="BW136" i="2"/>
  <c r="BW33" i="2"/>
  <c r="BW4" i="2"/>
  <c r="J3" i="13"/>
  <c r="BW6" i="2"/>
  <c r="BU24" i="1"/>
  <c r="BU67" i="1"/>
  <c r="BU68" i="1" s="1"/>
  <c r="BV69" i="1" s="1"/>
  <c r="BV24" i="1"/>
  <c r="F12" i="13"/>
  <c r="BQ106" i="2"/>
  <c r="BQ107" i="2" s="1"/>
  <c r="BQ133" i="2"/>
  <c r="D39" i="13"/>
  <c r="H12" i="13"/>
  <c r="H3" i="13"/>
  <c r="BU11" i="1"/>
  <c r="BU136" i="2"/>
  <c r="BU33" i="2"/>
  <c r="BU6" i="2"/>
  <c r="BU4" i="2"/>
  <c r="BS129" i="2"/>
  <c r="BR131" i="2"/>
  <c r="BW133" i="2"/>
  <c r="BW106" i="2"/>
  <c r="BW107" i="2" s="1"/>
  <c r="J39" i="13"/>
  <c r="BV147" i="2"/>
  <c r="BV151" i="2" s="1"/>
  <c r="BV8" i="2"/>
  <c r="BR147" i="2"/>
  <c r="BS27" i="1"/>
  <c r="BS24" i="1"/>
  <c r="D10" i="13"/>
  <c r="D43" i="13" s="1"/>
  <c r="BQ148" i="2"/>
  <c r="BQ157" i="2"/>
  <c r="BW115" i="2"/>
  <c r="BW32" i="2"/>
  <c r="BW116" i="2"/>
  <c r="BW52" i="2"/>
  <c r="BP52" i="2"/>
  <c r="BP53" i="2"/>
  <c r="BP49" i="2"/>
  <c r="BP47" i="2"/>
  <c r="BP54" i="2"/>
  <c r="BP50" i="2"/>
  <c r="BP51" i="2"/>
  <c r="BV129" i="2"/>
  <c r="BU8" i="2"/>
  <c r="BS100" i="2"/>
  <c r="BR6" i="2"/>
  <c r="BR11" i="1"/>
  <c r="BR23" i="1" s="1"/>
  <c r="E3" i="13"/>
  <c r="BR136" i="2"/>
  <c r="BR33" i="2"/>
  <c r="BR4" i="2"/>
  <c r="BR156" i="2"/>
  <c r="BQ8" i="2"/>
  <c r="BR58" i="2"/>
  <c r="D12" i="13"/>
  <c r="BT145" i="2"/>
  <c r="G44" i="13"/>
  <c r="BW47" i="2"/>
  <c r="BW50" i="2"/>
  <c r="BT79" i="2"/>
  <c r="BW145" i="2"/>
  <c r="J44" i="13"/>
  <c r="BU60" i="2"/>
  <c r="BR125" i="2"/>
  <c r="BU148" i="2"/>
  <c r="BU152" i="2" s="1"/>
  <c r="H10" i="13"/>
  <c r="H43" i="13" s="1"/>
  <c r="BW147" i="2"/>
  <c r="BW151" i="2" s="1"/>
  <c r="G39" i="13"/>
  <c r="BT133" i="2"/>
  <c r="BT106" i="2"/>
  <c r="BT107" i="2" s="1"/>
  <c r="BT100" i="2"/>
  <c r="BR148" i="2"/>
  <c r="E10" i="13"/>
  <c r="E43" i="13" s="1"/>
  <c r="BR157" i="2"/>
  <c r="BS4" i="2"/>
  <c r="BS6" i="2"/>
  <c r="BS33" i="2"/>
  <c r="F3" i="13"/>
  <c r="BS11" i="1"/>
  <c r="BS82" i="1" s="1"/>
  <c r="BS136" i="2"/>
  <c r="BS156" i="2"/>
  <c r="BQ100" i="2"/>
  <c r="BT147" i="2"/>
  <c r="BT151" i="2" s="1"/>
  <c r="BV106" i="2"/>
  <c r="BV107" i="2" s="1"/>
  <c r="I39" i="13"/>
  <c r="BV133" i="2"/>
  <c r="BQ145" i="2"/>
  <c r="D44" i="13"/>
  <c r="BU77" i="2"/>
  <c r="BS131" i="2"/>
  <c r="BT129" i="2"/>
  <c r="BR91" i="2"/>
  <c r="BV100" i="2"/>
  <c r="BU106" i="2"/>
  <c r="BU107" i="2" s="1"/>
  <c r="H39" i="13"/>
  <c r="BU133" i="2"/>
  <c r="BU100" i="2"/>
  <c r="E12" i="13"/>
  <c r="BQ147" i="2"/>
  <c r="BQ77" i="2"/>
  <c r="BT50" i="2"/>
  <c r="BT47" i="2"/>
  <c r="BV116" i="2"/>
  <c r="BV115" i="2"/>
  <c r="BV32" i="2"/>
  <c r="BV52" i="2"/>
  <c r="BT116" i="2"/>
  <c r="BT32" i="2"/>
  <c r="BT52" i="2"/>
  <c r="BT77" i="2"/>
  <c r="BW60" i="2"/>
  <c r="BR47" i="2"/>
  <c r="BR50" i="2"/>
  <c r="BU129" i="2"/>
  <c r="BT157" i="2"/>
  <c r="G10" i="13"/>
  <c r="G43" i="13" s="1"/>
  <c r="BT148" i="2"/>
  <c r="BT152" i="2" s="1"/>
  <c r="C69" i="8"/>
  <c r="C71" i="8" s="1"/>
  <c r="BT11" i="1"/>
  <c r="G3" i="13"/>
  <c r="BT136" i="2"/>
  <c r="BT4" i="2"/>
  <c r="BT6" i="2"/>
  <c r="BT156" i="2"/>
  <c r="BT33" i="2"/>
  <c r="BS147" i="2"/>
  <c r="BR77" i="2"/>
  <c r="BT90" i="2"/>
  <c r="BR133" i="2"/>
  <c r="BR106" i="2"/>
  <c r="BR107" i="2" s="1"/>
  <c r="E39" i="13"/>
  <c r="I44" i="13"/>
  <c r="BV145" i="2"/>
  <c r="G12" i="13"/>
  <c r="BS77" i="2"/>
  <c r="BW58" i="2"/>
  <c r="BS8" i="2"/>
  <c r="F10" i="13"/>
  <c r="F43" i="13" s="1"/>
  <c r="BS157" i="2"/>
  <c r="BS148" i="2"/>
  <c r="BR79" i="2"/>
  <c r="BS50" i="2"/>
  <c r="BS47" i="2"/>
  <c r="BU47" i="2"/>
  <c r="BU50" i="2"/>
  <c r="H44" i="13"/>
  <c r="BU145" i="2"/>
  <c r="BR32" i="2"/>
  <c r="BR52" i="2"/>
  <c r="BT24" i="1"/>
  <c r="F39" i="13"/>
  <c r="BS133" i="2"/>
  <c r="BS106" i="2"/>
  <c r="BS107" i="2" s="1"/>
  <c r="BU79" i="2"/>
  <c r="AM154" i="2"/>
  <c r="AM140" i="2"/>
  <c r="AM44" i="2"/>
  <c r="AM96" i="2"/>
  <c r="AN2" i="2"/>
  <c r="AM109" i="2"/>
  <c r="AM55" i="2"/>
  <c r="AM1" i="2"/>
  <c r="J12" i="13"/>
  <c r="BW174" i="2"/>
  <c r="BV4" i="2"/>
  <c r="I3" i="13"/>
  <c r="BV6" i="2"/>
  <c r="BV136" i="2"/>
  <c r="BV33" i="2"/>
  <c r="BU147" i="2"/>
  <c r="BU151" i="2" s="1"/>
  <c r="BR27" i="1"/>
  <c r="BR24" i="1"/>
  <c r="BR67" i="1"/>
  <c r="BR68" i="1" s="1"/>
  <c r="BQ27" i="1"/>
  <c r="BQ29" i="1" s="1"/>
  <c r="BQ24" i="1"/>
  <c r="BS32" i="2"/>
  <c r="BS52" i="2"/>
  <c r="BR100" i="2"/>
  <c r="BQ50" i="2"/>
  <c r="BQ47" i="2"/>
  <c r="BQ52" i="2"/>
  <c r="BQ131" i="2"/>
  <c r="BR129" i="2"/>
  <c r="BX129" i="2"/>
  <c r="I10" i="13"/>
  <c r="I43" i="13" s="1"/>
  <c r="BV148" i="2"/>
  <c r="BV152" i="2" s="1"/>
  <c r="BW148" i="2"/>
  <c r="BW152" i="2" s="1"/>
  <c r="BW172" i="2"/>
  <c r="J10" i="13"/>
  <c r="J43" i="13" s="1"/>
  <c r="I12" i="13"/>
  <c r="BR71" i="1"/>
  <c r="BQ136" i="2"/>
  <c r="BQ6" i="2"/>
  <c r="BQ33" i="2"/>
  <c r="BQ4" i="2"/>
  <c r="BQ11" i="1"/>
  <c r="BQ67" i="1" s="1"/>
  <c r="BQ68" i="1" s="1"/>
  <c r="BQ69" i="1" s="1"/>
  <c r="BQ156" i="2"/>
  <c r="D3" i="13"/>
  <c r="D4" i="13" s="1"/>
  <c r="BW129" i="2"/>
  <c r="BQ137" i="2"/>
  <c r="BR13" i="2" l="1"/>
  <c r="BQ23" i="1"/>
  <c r="J8" i="13"/>
  <c r="BR14" i="2"/>
  <c r="BT13" i="2"/>
  <c r="BW14" i="2"/>
  <c r="BR82" i="1"/>
  <c r="BT71" i="1"/>
  <c r="BT14" i="2"/>
  <c r="BT23" i="2" s="1"/>
  <c r="BW9" i="2"/>
  <c r="BR126" i="2"/>
  <c r="BQ82" i="1"/>
  <c r="BV54" i="2"/>
  <c r="BU54" i="2"/>
  <c r="P4" i="16"/>
  <c r="I4" i="13"/>
  <c r="BT12" i="1"/>
  <c r="BT14" i="1" s="1"/>
  <c r="O4" i="16"/>
  <c r="H4" i="13"/>
  <c r="N4" i="16"/>
  <c r="G4" i="13"/>
  <c r="BU48" i="2"/>
  <c r="H22" i="13"/>
  <c r="H23" i="13" s="1"/>
  <c r="BR54" i="2"/>
  <c r="C72" i="8"/>
  <c r="C80" i="8"/>
  <c r="BW48" i="2"/>
  <c r="J22" i="13"/>
  <c r="J23" i="13" s="1"/>
  <c r="BW54" i="2"/>
  <c r="BW53" i="2"/>
  <c r="BV7" i="2"/>
  <c r="I6" i="13"/>
  <c r="I7" i="13" s="1"/>
  <c r="D8" i="13"/>
  <c r="BQ9" i="2"/>
  <c r="BQ71" i="1"/>
  <c r="BQ78" i="1" s="1"/>
  <c r="BQ13" i="2"/>
  <c r="BQ14" i="2"/>
  <c r="BU12" i="1"/>
  <c r="BU14" i="1" s="1"/>
  <c r="BV12" i="1"/>
  <c r="BV14" i="1" s="1"/>
  <c r="BQ28" i="1"/>
  <c r="BQ12" i="1"/>
  <c r="BQ14" i="1" s="1"/>
  <c r="BS14" i="2"/>
  <c r="BS9" i="2"/>
  <c r="BS13" i="2"/>
  <c r="BS71" i="1"/>
  <c r="F8" i="13"/>
  <c r="BR134" i="2"/>
  <c r="BR135" i="2"/>
  <c r="BR138" i="2"/>
  <c r="BT54" i="2"/>
  <c r="BU9" i="2"/>
  <c r="BU14" i="2"/>
  <c r="H8" i="13"/>
  <c r="BU71" i="1"/>
  <c r="BU13" i="2"/>
  <c r="BW175" i="2"/>
  <c r="BW134" i="2"/>
  <c r="BW138" i="2"/>
  <c r="BU23" i="1"/>
  <c r="BR69" i="1"/>
  <c r="BW23" i="2"/>
  <c r="BW15" i="2"/>
  <c r="J9" i="13"/>
  <c r="J35" i="13" s="1"/>
  <c r="BT134" i="2"/>
  <c r="BT138" i="2"/>
  <c r="BS54" i="2"/>
  <c r="M4" i="16"/>
  <c r="M8" i="16" s="1"/>
  <c r="F4" i="13"/>
  <c r="BS12" i="1"/>
  <c r="BS14" i="1" s="1"/>
  <c r="BR78" i="1"/>
  <c r="BR12" i="1"/>
  <c r="BR14" i="1" s="1"/>
  <c r="BS29" i="1"/>
  <c r="BS28" i="1"/>
  <c r="BS48" i="2"/>
  <c r="F22" i="13"/>
  <c r="F23" i="13" s="1"/>
  <c r="BR28" i="1"/>
  <c r="BR29" i="1"/>
  <c r="BR7" i="2"/>
  <c r="E6" i="13"/>
  <c r="E7" i="13" s="1"/>
  <c r="BS67" i="1"/>
  <c r="BS68" i="1" s="1"/>
  <c r="BS69" i="1" s="1"/>
  <c r="BQ134" i="2"/>
  <c r="BQ135" i="2"/>
  <c r="BQ138" i="2"/>
  <c r="BW7" i="2"/>
  <c r="J6" i="13"/>
  <c r="J7" i="13" s="1"/>
  <c r="I8" i="13"/>
  <c r="BV9" i="2"/>
  <c r="BV13" i="2"/>
  <c r="BV14" i="2"/>
  <c r="E4" i="13"/>
  <c r="BQ48" i="2"/>
  <c r="BQ53" i="2" s="1"/>
  <c r="D22" i="13"/>
  <c r="D23" i="13" s="1"/>
  <c r="BS7" i="2"/>
  <c r="F6" i="13"/>
  <c r="F7" i="13" s="1"/>
  <c r="BT48" i="2"/>
  <c r="BT53" i="2" s="1"/>
  <c r="G22" i="13"/>
  <c r="G23" i="13" s="1"/>
  <c r="BS23" i="1"/>
  <c r="BQ54" i="2"/>
  <c r="Q4" i="16"/>
  <c r="J4" i="13"/>
  <c r="BS134" i="2"/>
  <c r="BS135" i="2"/>
  <c r="BS138" i="2"/>
  <c r="BR73" i="1"/>
  <c r="BR75" i="1" s="1"/>
  <c r="BR72" i="1"/>
  <c r="BR16" i="2"/>
  <c r="E9" i="13"/>
  <c r="E35" i="13" s="1"/>
  <c r="BR23" i="2"/>
  <c r="BR15" i="2"/>
  <c r="BT67" i="1"/>
  <c r="BT68" i="1" s="1"/>
  <c r="BR9" i="2"/>
  <c r="BS126" i="2"/>
  <c r="BT23" i="1"/>
  <c r="BV48" i="2"/>
  <c r="I22" i="13"/>
  <c r="I23" i="13" s="1"/>
  <c r="G6" i="13"/>
  <c r="G7" i="13" s="1"/>
  <c r="BT7" i="2"/>
  <c r="BV134" i="2"/>
  <c r="BV138" i="2"/>
  <c r="BQ126" i="2"/>
  <c r="H6" i="13"/>
  <c r="H7" i="13" s="1"/>
  <c r="BU7" i="2"/>
  <c r="E22" i="13"/>
  <c r="E23" i="13" s="1"/>
  <c r="BR48" i="2"/>
  <c r="BR51" i="2" s="1"/>
  <c r="D6" i="13"/>
  <c r="D7" i="13" s="1"/>
  <c r="BQ7" i="2"/>
  <c r="AN96" i="2"/>
  <c r="AO2" i="2"/>
  <c r="AN1" i="2"/>
  <c r="AN44" i="2"/>
  <c r="AN55" i="2"/>
  <c r="AN140" i="2"/>
  <c r="AN154" i="2"/>
  <c r="AN109" i="2"/>
  <c r="BU134" i="2"/>
  <c r="BU138" i="2"/>
  <c r="BT9" i="2"/>
  <c r="G9" i="13" l="1"/>
  <c r="G35" i="13" s="1"/>
  <c r="BT73" i="1"/>
  <c r="BT75" i="1" s="1"/>
  <c r="BT15" i="2"/>
  <c r="BT78" i="1"/>
  <c r="BT72" i="1"/>
  <c r="BS15" i="2"/>
  <c r="F9" i="13"/>
  <c r="F35" i="13" s="1"/>
  <c r="BS23" i="2"/>
  <c r="BS16" i="2"/>
  <c r="BS51" i="2" s="1"/>
  <c r="G11" i="13"/>
  <c r="G13" i="13" s="1"/>
  <c r="BT25" i="2"/>
  <c r="BT27" i="2"/>
  <c r="BU72" i="1"/>
  <c r="BU73" i="1"/>
  <c r="BU75" i="1" s="1"/>
  <c r="BV73" i="1"/>
  <c r="BV75" i="1" s="1"/>
  <c r="BS53" i="2"/>
  <c r="BU15" i="2"/>
  <c r="BU23" i="2"/>
  <c r="H9" i="13"/>
  <c r="H35" i="13" s="1"/>
  <c r="BT79" i="1"/>
  <c r="BQ84" i="1"/>
  <c r="BQ79" i="1"/>
  <c r="BR53" i="2"/>
  <c r="BU69" i="1"/>
  <c r="BT69" i="1"/>
  <c r="BR17" i="2"/>
  <c r="E17" i="13"/>
  <c r="E18" i="13" s="1"/>
  <c r="Q8" i="16"/>
  <c r="F4" i="16" s="1"/>
  <c r="Q12" i="16"/>
  <c r="F5" i="16" s="1"/>
  <c r="E11" i="13"/>
  <c r="E13" i="13" s="1"/>
  <c r="BR25" i="2"/>
  <c r="BR27" i="2"/>
  <c r="N12" i="16"/>
  <c r="C5" i="16" s="1"/>
  <c r="N8" i="16"/>
  <c r="C4" i="16" s="1"/>
  <c r="BR79" i="1"/>
  <c r="BR84" i="1"/>
  <c r="D9" i="13"/>
  <c r="D35" i="13" s="1"/>
  <c r="BQ23" i="2"/>
  <c r="BQ16" i="2"/>
  <c r="BQ15" i="2"/>
  <c r="O12" i="16"/>
  <c r="D5" i="16" s="1"/>
  <c r="O8" i="16"/>
  <c r="D4" i="16" s="1"/>
  <c r="BU53" i="2"/>
  <c r="BU78" i="1"/>
  <c r="BV15" i="2"/>
  <c r="BV23" i="2"/>
  <c r="I9" i="13"/>
  <c r="I35" i="13" s="1"/>
  <c r="J11" i="13"/>
  <c r="J13" i="13" s="1"/>
  <c r="J36" i="13" s="1"/>
  <c r="J41" i="13" s="1"/>
  <c r="BW25" i="2"/>
  <c r="BW27" i="2"/>
  <c r="BS72" i="1"/>
  <c r="BS73" i="1"/>
  <c r="BS75" i="1" s="1"/>
  <c r="P8" i="16"/>
  <c r="E4" i="16" s="1"/>
  <c r="P12" i="16"/>
  <c r="E5" i="16" s="1"/>
  <c r="AO1" i="2"/>
  <c r="AO109" i="2"/>
  <c r="AO96" i="2"/>
  <c r="AO55" i="2"/>
  <c r="AO44" i="2"/>
  <c r="BT71" i="2"/>
  <c r="BV70" i="2"/>
  <c r="BU71" i="2"/>
  <c r="BT70" i="2"/>
  <c r="BU70" i="2"/>
  <c r="BX57" i="2"/>
  <c r="BW71" i="2"/>
  <c r="BV71" i="2"/>
  <c r="BV72" i="2" s="1"/>
  <c r="BV73" i="2" s="1"/>
  <c r="BY142" i="2"/>
  <c r="BX78" i="2"/>
  <c r="BX84" i="2"/>
  <c r="BX30" i="2"/>
  <c r="BX82" i="2"/>
  <c r="BX142" i="2" s="1"/>
  <c r="BW70" i="2"/>
  <c r="BX59" i="2"/>
  <c r="BX88" i="2"/>
  <c r="BX83" i="2"/>
  <c r="BX67" i="2"/>
  <c r="BX87" i="2"/>
  <c r="BX61" i="2"/>
  <c r="BX76" i="2"/>
  <c r="BX75" i="2"/>
  <c r="BX56" i="2"/>
  <c r="BX70" i="2"/>
  <c r="BX71" i="2"/>
  <c r="CA87" i="2"/>
  <c r="CB87" i="2" s="1"/>
  <c r="CC87" i="2" s="1"/>
  <c r="CD87" i="2" s="1"/>
  <c r="CA83" i="2"/>
  <c r="CB83" i="2" s="1"/>
  <c r="CC83" i="2" s="1"/>
  <c r="CD83" i="2" s="1"/>
  <c r="BR146" i="2"/>
  <c r="BR41" i="2" s="1"/>
  <c r="BS78" i="1"/>
  <c r="BQ73" i="1"/>
  <c r="BQ75" i="1" s="1"/>
  <c r="BQ72" i="1"/>
  <c r="BV53" i="2"/>
  <c r="BX72" i="2" l="1"/>
  <c r="E27" i="13"/>
  <c r="BS79" i="1"/>
  <c r="BS84" i="1"/>
  <c r="BX144" i="2"/>
  <c r="BX130" i="2"/>
  <c r="BW72" i="2"/>
  <c r="BW73" i="2" s="1"/>
  <c r="BW38" i="2" s="1"/>
  <c r="D11" i="13"/>
  <c r="D13" i="13" s="1"/>
  <c r="BQ25" i="2"/>
  <c r="BQ27" i="2"/>
  <c r="J37" i="13"/>
  <c r="BQ85" i="1"/>
  <c r="BQ86" i="1"/>
  <c r="BV131" i="2"/>
  <c r="BV91" i="2"/>
  <c r="BX124" i="2"/>
  <c r="BX141" i="2"/>
  <c r="BX143" i="2" s="1"/>
  <c r="K44" i="13" s="1"/>
  <c r="BX93" i="2"/>
  <c r="BX94" i="2" s="1"/>
  <c r="BX99" i="2"/>
  <c r="K40" i="13" s="1"/>
  <c r="BT65" i="2"/>
  <c r="BT68" i="2" s="1"/>
  <c r="BV65" i="2"/>
  <c r="BV68" i="2" s="1"/>
  <c r="BU65" i="2"/>
  <c r="BU68" i="2" s="1"/>
  <c r="BX18" i="2"/>
  <c r="BX105" i="2"/>
  <c r="BX10" i="2"/>
  <c r="BX12" i="2"/>
  <c r="BX8" i="2"/>
  <c r="BW65" i="2"/>
  <c r="BX65" i="2"/>
  <c r="BX68" i="2" s="1"/>
  <c r="BX110" i="2"/>
  <c r="BX5" i="2"/>
  <c r="BX77" i="2" s="1"/>
  <c r="BX24" i="2"/>
  <c r="BX113" i="2"/>
  <c r="BX19" i="2"/>
  <c r="BX11" i="2"/>
  <c r="BX102" i="2"/>
  <c r="BX3" i="2"/>
  <c r="BX60" i="2" s="1"/>
  <c r="BY68" i="2"/>
  <c r="BX26" i="2"/>
  <c r="BY60" i="2"/>
  <c r="I11" i="13"/>
  <c r="I13" i="13" s="1"/>
  <c r="I36" i="13" s="1"/>
  <c r="I41" i="13" s="1"/>
  <c r="BV25" i="2"/>
  <c r="BV27" i="2"/>
  <c r="BY111" i="2"/>
  <c r="BY46" i="2"/>
  <c r="BQ34" i="2"/>
  <c r="BQ17" i="2"/>
  <c r="D17" i="13"/>
  <c r="BQ146" i="2"/>
  <c r="BQ41" i="2" s="1"/>
  <c r="BR85" i="1"/>
  <c r="BR86" i="1"/>
  <c r="BT97" i="2"/>
  <c r="BT43" i="2"/>
  <c r="BT31" i="2"/>
  <c r="BT28" i="2"/>
  <c r="BT110" i="2" s="1"/>
  <c r="BT37" i="2"/>
  <c r="BT165" i="2"/>
  <c r="G31" i="13" s="1"/>
  <c r="G15" i="13"/>
  <c r="G25" i="13" s="1"/>
  <c r="BT161" i="2"/>
  <c r="BT155" i="2"/>
  <c r="BT158" i="2" s="1"/>
  <c r="BT160" i="2" s="1"/>
  <c r="BT38" i="2"/>
  <c r="BU114" i="2"/>
  <c r="BU163" i="2" s="1"/>
  <c r="BT49" i="2"/>
  <c r="BY80" i="2"/>
  <c r="BU79" i="1"/>
  <c r="P53" i="13"/>
  <c r="G36" i="13"/>
  <c r="BX42" i="2"/>
  <c r="K26" i="13"/>
  <c r="BX111" i="2"/>
  <c r="BX46" i="2"/>
  <c r="BX50" i="2" s="1"/>
  <c r="BR34" i="2"/>
  <c r="BY63" i="2"/>
  <c r="BY130" i="2"/>
  <c r="BY144" i="2"/>
  <c r="BX63" i="2"/>
  <c r="BX73" i="2" s="1"/>
  <c r="BX85" i="2"/>
  <c r="BU72" i="2"/>
  <c r="BU73" i="2" s="1"/>
  <c r="BS34" i="2"/>
  <c r="BS17" i="2"/>
  <c r="F17" i="13"/>
  <c r="BS146" i="2"/>
  <c r="BS41" i="2" s="1"/>
  <c r="BX80" i="2"/>
  <c r="BR97" i="2"/>
  <c r="BR101" i="2" s="1"/>
  <c r="BR43" i="2"/>
  <c r="BR38" i="2"/>
  <c r="BR37" i="2"/>
  <c r="BR31" i="2"/>
  <c r="BR165" i="2"/>
  <c r="E31" i="13" s="1"/>
  <c r="BR28" i="2"/>
  <c r="E15" i="13"/>
  <c r="E25" i="13" s="1"/>
  <c r="BR161" i="2"/>
  <c r="BR155" i="2"/>
  <c r="BR158" i="2" s="1"/>
  <c r="BR160" i="2" s="1"/>
  <c r="BR49" i="2"/>
  <c r="BR114" i="2"/>
  <c r="BR163" i="2" s="1"/>
  <c r="BQ51" i="2"/>
  <c r="H11" i="13"/>
  <c r="H13" i="13" s="1"/>
  <c r="BU27" i="2"/>
  <c r="BU25" i="2"/>
  <c r="F11" i="13"/>
  <c r="F13" i="13" s="1"/>
  <c r="BS25" i="2"/>
  <c r="BS27" i="2"/>
  <c r="BY42" i="2"/>
  <c r="L26" i="13"/>
  <c r="BY85" i="2"/>
  <c r="BT72" i="2"/>
  <c r="BT73" i="2" s="1"/>
  <c r="BY141" i="2"/>
  <c r="BY143" i="2" s="1"/>
  <c r="BY124" i="2"/>
  <c r="BW28" i="2"/>
  <c r="BW110" i="2" s="1"/>
  <c r="J15" i="13"/>
  <c r="J25" i="13" s="1"/>
  <c r="BW97" i="2"/>
  <c r="BW37" i="2"/>
  <c r="BW43" i="2"/>
  <c r="BW31" i="2"/>
  <c r="BW165" i="2"/>
  <c r="J31" i="13" s="1"/>
  <c r="BW161" i="2"/>
  <c r="BW155" i="2"/>
  <c r="BW49" i="2"/>
  <c r="N53" i="13"/>
  <c r="E36" i="13"/>
  <c r="BY93" i="2"/>
  <c r="BY94" i="2" s="1"/>
  <c r="BY99" i="2"/>
  <c r="L40" i="13" s="1"/>
  <c r="BY58" i="2" l="1"/>
  <c r="CA58" i="2" s="1"/>
  <c r="BY145" i="2"/>
  <c r="L22" i="13" s="1"/>
  <c r="BY90" i="2"/>
  <c r="BY112" i="2"/>
  <c r="BX79" i="2"/>
  <c r="BX58" i="2"/>
  <c r="BT162" i="2"/>
  <c r="BX125" i="2"/>
  <c r="I37" i="13"/>
  <c r="BV39" i="2" s="1"/>
  <c r="I32" i="13" s="1"/>
  <c r="BU159" i="2"/>
  <c r="BT131" i="2"/>
  <c r="BU157" i="2"/>
  <c r="BU156" i="2"/>
  <c r="BT91" i="2"/>
  <c r="BY100" i="2"/>
  <c r="Q53" i="13"/>
  <c r="H36" i="13"/>
  <c r="BV159" i="2"/>
  <c r="BU131" i="2"/>
  <c r="BV156" i="2"/>
  <c r="BV157" i="2"/>
  <c r="BU91" i="2"/>
  <c r="BW39" i="2"/>
  <c r="J32" i="13" s="1"/>
  <c r="G41" i="13"/>
  <c r="G37" i="13"/>
  <c r="L12" i="13"/>
  <c r="BY174" i="2"/>
  <c r="BW137" i="2"/>
  <c r="BW81" i="1"/>
  <c r="BW98" i="2"/>
  <c r="J38" i="13" s="1"/>
  <c r="J42" i="13" s="1"/>
  <c r="J45" i="13" s="1"/>
  <c r="J30" i="13" s="1"/>
  <c r="BW66" i="2"/>
  <c r="BW16" i="2"/>
  <c r="BW135" i="2"/>
  <c r="BW68" i="2"/>
  <c r="BX90" i="2"/>
  <c r="BX91" i="2" s="1"/>
  <c r="BX62" i="2"/>
  <c r="D18" i="13"/>
  <c r="D27" i="13"/>
  <c r="BY147" i="2"/>
  <c r="BX13" i="2"/>
  <c r="K8" i="13"/>
  <c r="BX9" i="2"/>
  <c r="D36" i="13"/>
  <c r="BX159" i="2"/>
  <c r="BW131" i="2"/>
  <c r="BW91" i="2"/>
  <c r="BU161" i="2"/>
  <c r="BU155" i="2"/>
  <c r="BU31" i="2"/>
  <c r="BU35" i="2" s="1"/>
  <c r="BU37" i="2"/>
  <c r="BU28" i="2"/>
  <c r="BU110" i="2" s="1"/>
  <c r="H15" i="13"/>
  <c r="H25" i="13" s="1"/>
  <c r="BU38" i="2"/>
  <c r="BU165" i="2"/>
  <c r="H31" i="13" s="1"/>
  <c r="BU97" i="2"/>
  <c r="BU43" i="2"/>
  <c r="BU49" i="2"/>
  <c r="BV114" i="2"/>
  <c r="BV163" i="2" s="1"/>
  <c r="CA84" i="2"/>
  <c r="D15" i="13"/>
  <c r="D25" i="13" s="1"/>
  <c r="BQ37" i="2"/>
  <c r="BQ165" i="2"/>
  <c r="D31" i="13" s="1"/>
  <c r="BQ31" i="2"/>
  <c r="BQ35" i="2" s="1"/>
  <c r="BQ28" i="2"/>
  <c r="BQ161" i="2"/>
  <c r="BQ155" i="2"/>
  <c r="BQ158" i="2" s="1"/>
  <c r="BQ160" i="2" s="1"/>
  <c r="BQ114" i="2"/>
  <c r="BQ163" i="2" s="1"/>
  <c r="BQ38" i="2"/>
  <c r="BQ97" i="2"/>
  <c r="BQ101" i="2" s="1"/>
  <c r="BQ43" i="2"/>
  <c r="BQ49" i="2"/>
  <c r="BW125" i="2"/>
  <c r="BW126" i="2" s="1"/>
  <c r="BW119" i="2"/>
  <c r="L44" i="13"/>
  <c r="BR162" i="2"/>
  <c r="BR164" i="2" s="1"/>
  <c r="BT125" i="2"/>
  <c r="BT126" i="2" s="1"/>
  <c r="BT119" i="2"/>
  <c r="BY4" i="2"/>
  <c r="BY33" i="2"/>
  <c r="L3" i="13"/>
  <c r="BY136" i="2"/>
  <c r="BX147" i="2"/>
  <c r="BX151" i="2" s="1"/>
  <c r="BX137" i="2"/>
  <c r="K3" i="13"/>
  <c r="BX33" i="2"/>
  <c r="BX136" i="2"/>
  <c r="BX4" i="2"/>
  <c r="BX6" i="2"/>
  <c r="BX156" i="2"/>
  <c r="CA60" i="2"/>
  <c r="BY47" i="2"/>
  <c r="BY50" i="2"/>
  <c r="BX100" i="2"/>
  <c r="L8" i="13"/>
  <c r="BY13" i="2"/>
  <c r="BY9" i="2"/>
  <c r="BX106" i="2"/>
  <c r="BX107" i="2" s="1"/>
  <c r="BX133" i="2"/>
  <c r="K39" i="13"/>
  <c r="BW157" i="2"/>
  <c r="BY129" i="2"/>
  <c r="BX131" i="2"/>
  <c r="BX98" i="2"/>
  <c r="K38" i="13" s="1"/>
  <c r="BX66" i="2"/>
  <c r="BY119" i="2"/>
  <c r="BY32" i="2"/>
  <c r="BY52" i="2"/>
  <c r="BY116" i="2"/>
  <c r="BY115" i="2"/>
  <c r="BS43" i="2"/>
  <c r="BS28" i="2"/>
  <c r="BS38" i="2"/>
  <c r="BS97" i="2"/>
  <c r="BS101" i="2" s="1"/>
  <c r="BS161" i="2"/>
  <c r="BS31" i="2"/>
  <c r="BS35" i="2" s="1"/>
  <c r="BS165" i="2"/>
  <c r="F31" i="13" s="1"/>
  <c r="F15" i="13"/>
  <c r="F25" i="13" s="1"/>
  <c r="BS155" i="2"/>
  <c r="BS158" i="2" s="1"/>
  <c r="BS160" i="2" s="1"/>
  <c r="BS37" i="2"/>
  <c r="BS49" i="2"/>
  <c r="BS114" i="2"/>
  <c r="BS163" i="2" s="1"/>
  <c r="BT114" i="2"/>
  <c r="BT163" i="2" s="1"/>
  <c r="BY62" i="2"/>
  <c r="BY133" i="2"/>
  <c r="BY106" i="2"/>
  <c r="BY107" i="2" s="1"/>
  <c r="L39" i="13"/>
  <c r="BX114" i="2"/>
  <c r="BX163" i="2" s="1"/>
  <c r="BX115" i="2"/>
  <c r="BX32" i="2"/>
  <c r="BX52" i="2"/>
  <c r="BX119" i="2"/>
  <c r="BX116" i="2"/>
  <c r="K10" i="13"/>
  <c r="K43" i="13" s="1"/>
  <c r="BX172" i="2"/>
  <c r="BX157" i="2"/>
  <c r="BW156" i="2"/>
  <c r="BX145" i="2"/>
  <c r="BY125" i="2"/>
  <c r="F18" i="13"/>
  <c r="F27" i="13"/>
  <c r="CA30" i="2"/>
  <c r="BY172" i="2"/>
  <c r="L10" i="13"/>
  <c r="L43" i="13" s="1"/>
  <c r="BY148" i="2"/>
  <c r="BY152" i="2" s="1"/>
  <c r="K12" i="13"/>
  <c r="BX174" i="2"/>
  <c r="BU81" i="1"/>
  <c r="BU137" i="2"/>
  <c r="BU98" i="2"/>
  <c r="H38" i="13" s="1"/>
  <c r="BU66" i="2"/>
  <c r="BU135" i="2"/>
  <c r="BU16" i="2"/>
  <c r="BX148" i="2"/>
  <c r="BX152" i="2" s="1"/>
  <c r="O53" i="13"/>
  <c r="F36" i="13"/>
  <c r="BX47" i="2"/>
  <c r="BV98" i="2"/>
  <c r="I38" i="13" s="1"/>
  <c r="I42" i="13" s="1"/>
  <c r="I45" i="13" s="1"/>
  <c r="I30" i="13" s="1"/>
  <c r="BV66" i="2"/>
  <c r="BV81" i="1"/>
  <c r="BV137" i="2"/>
  <c r="BV135" i="2"/>
  <c r="BV16" i="2"/>
  <c r="BW159" i="2"/>
  <c r="BS86" i="1"/>
  <c r="BS85" i="1"/>
  <c r="E41" i="13"/>
  <c r="E37" i="13"/>
  <c r="BV37" i="2"/>
  <c r="BV31" i="2"/>
  <c r="BV38" i="2"/>
  <c r="BV97" i="2"/>
  <c r="BV43" i="2"/>
  <c r="BV155" i="2"/>
  <c r="BV165" i="2"/>
  <c r="I31" i="13" s="1"/>
  <c r="BV28" i="2"/>
  <c r="BV110" i="2" s="1"/>
  <c r="BV161" i="2"/>
  <c r="I15" i="13"/>
  <c r="I25" i="13" s="1"/>
  <c r="BW114" i="2"/>
  <c r="BW163" i="2" s="1"/>
  <c r="BV49" i="2"/>
  <c r="BY98" i="2"/>
  <c r="L38" i="13" s="1"/>
  <c r="BY66" i="2"/>
  <c r="BY137" i="2"/>
  <c r="BX112" i="2"/>
  <c r="BT66" i="2"/>
  <c r="BT81" i="1"/>
  <c r="BT137" i="2"/>
  <c r="BT98" i="2"/>
  <c r="G38" i="13" s="1"/>
  <c r="BT135" i="2"/>
  <c r="BT16" i="2"/>
  <c r="BY48" i="2" l="1"/>
  <c r="BY53" i="2" s="1"/>
  <c r="BT164" i="2"/>
  <c r="BV35" i="2"/>
  <c r="BQ162" i="2"/>
  <c r="BW158" i="2"/>
  <c r="BW160" i="2" s="1"/>
  <c r="BW162" i="2" s="1"/>
  <c r="BW164" i="2" s="1"/>
  <c r="BY117" i="2"/>
  <c r="BQ164" i="2"/>
  <c r="BV101" i="2"/>
  <c r="BV119" i="2"/>
  <c r="BV125" i="2"/>
  <c r="BV126" i="2" s="1"/>
  <c r="BR35" i="2"/>
  <c r="BY126" i="2"/>
  <c r="CB60" i="2"/>
  <c r="CA59" i="2"/>
  <c r="BU119" i="2"/>
  <c r="BU125" i="2"/>
  <c r="BU126" i="2" s="1"/>
  <c r="D41" i="13"/>
  <c r="D37" i="13"/>
  <c r="D42" i="13" s="1"/>
  <c r="D45" i="13" s="1"/>
  <c r="F41" i="13"/>
  <c r="F37" i="13"/>
  <c r="BW121" i="2"/>
  <c r="BW120" i="2"/>
  <c r="CB58" i="2"/>
  <c r="CA57" i="2"/>
  <c r="BT27" i="1"/>
  <c r="BT82" i="1"/>
  <c r="BT84" i="1"/>
  <c r="BV158" i="2"/>
  <c r="BV160" i="2" s="1"/>
  <c r="BV162" i="2" s="1"/>
  <c r="BV164" i="2" s="1"/>
  <c r="BW101" i="2"/>
  <c r="BY121" i="2"/>
  <c r="BX14" i="2"/>
  <c r="K6" i="13"/>
  <c r="K7" i="13" s="1"/>
  <c r="BX7" i="2"/>
  <c r="L4" i="13"/>
  <c r="M4" i="13"/>
  <c r="BW171" i="2"/>
  <c r="BW176" i="2" s="1"/>
  <c r="BW177" i="2" s="1"/>
  <c r="J17" i="13"/>
  <c r="BW34" i="2"/>
  <c r="BW17" i="2"/>
  <c r="BW146" i="2"/>
  <c r="BW41" i="2" s="1"/>
  <c r="BW51" i="2"/>
  <c r="BX48" i="2"/>
  <c r="K22" i="13"/>
  <c r="K23" i="13" s="1"/>
  <c r="BS162" i="2"/>
  <c r="BS164" i="2" s="1"/>
  <c r="CB84" i="2"/>
  <c r="BU158" i="2"/>
  <c r="BU160" i="2" s="1"/>
  <c r="BU162" i="2" s="1"/>
  <c r="BU164" i="2" s="1"/>
  <c r="BY138" i="2"/>
  <c r="BY135" i="2"/>
  <c r="BY134" i="2"/>
  <c r="BY175" i="2"/>
  <c r="CA62" i="2"/>
  <c r="R4" i="16"/>
  <c r="K4" i="13"/>
  <c r="L5" i="13"/>
  <c r="BV17" i="2"/>
  <c r="I17" i="13"/>
  <c r="BV34" i="2"/>
  <c r="BV146" i="2"/>
  <c r="BV41" i="2" s="1"/>
  <c r="BV51" i="2"/>
  <c r="BY54" i="2"/>
  <c r="BV82" i="1"/>
  <c r="BV27" i="1"/>
  <c r="BV84" i="1"/>
  <c r="CA46" i="2"/>
  <c r="CA47" i="2" s="1"/>
  <c r="CB30" i="2"/>
  <c r="BT121" i="2"/>
  <c r="BT120" i="2"/>
  <c r="BY151" i="2"/>
  <c r="BU101" i="2"/>
  <c r="BX126" i="2"/>
  <c r="BW82" i="1"/>
  <c r="BW27" i="1"/>
  <c r="BW84" i="1"/>
  <c r="BW35" i="2"/>
  <c r="BT101" i="2"/>
  <c r="BX134" i="2"/>
  <c r="BX135" i="2"/>
  <c r="BX138" i="2"/>
  <c r="BX175" i="2"/>
  <c r="BT35" i="2"/>
  <c r="H41" i="13"/>
  <c r="H37" i="13"/>
  <c r="M44" i="13"/>
  <c r="CA143" i="2"/>
  <c r="BU34" i="2"/>
  <c r="BU17" i="2"/>
  <c r="H17" i="13"/>
  <c r="BU146" i="2"/>
  <c r="BU41" i="2" s="1"/>
  <c r="BU51" i="2"/>
  <c r="BT34" i="2"/>
  <c r="BT17" i="2"/>
  <c r="G17" i="13"/>
  <c r="BT146" i="2"/>
  <c r="BT41" i="2" s="1"/>
  <c r="BT51" i="2"/>
  <c r="E42" i="13"/>
  <c r="E45" i="13" s="1"/>
  <c r="BU82" i="1"/>
  <c r="BU27" i="1"/>
  <c r="BU84" i="1"/>
  <c r="BX121" i="2"/>
  <c r="BX54" i="2"/>
  <c r="L23" i="13"/>
  <c r="BT39" i="2"/>
  <c r="G32" i="13" s="1"/>
  <c r="G42" i="13"/>
  <c r="G45" i="13" s="1"/>
  <c r="G30" i="13" s="1"/>
  <c r="BX86" i="1" l="1"/>
  <c r="BW85" i="1"/>
  <c r="R12" i="16"/>
  <c r="G5" i="16" s="1"/>
  <c r="R8" i="16"/>
  <c r="G4" i="16" s="1"/>
  <c r="M11" i="16"/>
  <c r="BU28" i="1"/>
  <c r="BU29" i="1"/>
  <c r="BW28" i="1"/>
  <c r="BX29" i="1"/>
  <c r="CC58" i="2"/>
  <c r="CB57" i="2"/>
  <c r="CC60" i="2"/>
  <c r="CB59" i="2"/>
  <c r="BU86" i="1"/>
  <c r="BU85" i="1"/>
  <c r="CB62" i="2"/>
  <c r="CA61" i="2"/>
  <c r="J29" i="13"/>
  <c r="BW122" i="2"/>
  <c r="BT28" i="1"/>
  <c r="BT29" i="1"/>
  <c r="G18" i="13"/>
  <c r="G27" i="13"/>
  <c r="CB143" i="2"/>
  <c r="N44" i="13"/>
  <c r="BT122" i="2"/>
  <c r="G29" i="13"/>
  <c r="L29" i="13"/>
  <c r="BY122" i="2"/>
  <c r="F42" i="13"/>
  <c r="F45" i="13" s="1"/>
  <c r="F30" i="13" s="1"/>
  <c r="CB46" i="2"/>
  <c r="CB47" i="2" s="1"/>
  <c r="CC30" i="2"/>
  <c r="K29" i="13"/>
  <c r="BX122" i="2"/>
  <c r="CA151" i="2"/>
  <c r="CA147" i="2" s="1"/>
  <c r="I18" i="13"/>
  <c r="I27" i="13"/>
  <c r="CC84" i="2"/>
  <c r="BV121" i="2"/>
  <c r="BV120" i="2"/>
  <c r="H18" i="13"/>
  <c r="H27" i="13"/>
  <c r="BX53" i="2"/>
  <c r="H42" i="13"/>
  <c r="H45" i="13" s="1"/>
  <c r="H30" i="13" s="1"/>
  <c r="BU39" i="2"/>
  <c r="H32" i="13" s="1"/>
  <c r="BW86" i="1"/>
  <c r="BV85" i="1"/>
  <c r="BV86" i="1"/>
  <c r="BT85" i="1"/>
  <c r="BT86" i="1"/>
  <c r="BU121" i="2"/>
  <c r="BU120" i="2"/>
  <c r="CA141" i="2"/>
  <c r="CA142" i="2" s="1"/>
  <c r="CA82" i="2" s="1"/>
  <c r="CA85" i="2" s="1"/>
  <c r="BX15" i="2"/>
  <c r="BX16" i="2"/>
  <c r="K9" i="13"/>
  <c r="K35" i="13" s="1"/>
  <c r="BX23" i="2"/>
  <c r="BW29" i="1"/>
  <c r="BV29" i="1"/>
  <c r="BV28" i="1"/>
  <c r="J18" i="13"/>
  <c r="J27" i="13"/>
  <c r="BX51" i="2" l="1"/>
  <c r="H29" i="13"/>
  <c r="BU122" i="2"/>
  <c r="CD84" i="2"/>
  <c r="CC62" i="2"/>
  <c r="CB61" i="2"/>
  <c r="BX34" i="2"/>
  <c r="K17" i="13"/>
  <c r="BX171" i="2"/>
  <c r="BX176" i="2" s="1"/>
  <c r="BX177" i="2" s="1"/>
  <c r="BX17" i="2"/>
  <c r="BX146" i="2"/>
  <c r="BX41" i="2" s="1"/>
  <c r="CA19" i="2"/>
  <c r="N52" i="13"/>
  <c r="N50" i="13" s="1"/>
  <c r="CB151" i="2"/>
  <c r="CB147" i="2" s="1"/>
  <c r="CD58" i="2"/>
  <c r="CD57" i="2" s="1"/>
  <c r="CC57" i="2"/>
  <c r="K11" i="13"/>
  <c r="K13" i="13" s="1"/>
  <c r="K36" i="13" s="1"/>
  <c r="K41" i="13" s="1"/>
  <c r="BX27" i="2"/>
  <c r="BX37" i="2" s="1"/>
  <c r="BX25" i="2"/>
  <c r="CD60" i="2"/>
  <c r="CD59" i="2" s="1"/>
  <c r="CC59" i="2"/>
  <c r="BV122" i="2"/>
  <c r="I29" i="13"/>
  <c r="O44" i="13"/>
  <c r="CC143" i="2"/>
  <c r="CB141" i="2"/>
  <c r="CB142" i="2" s="1"/>
  <c r="CB82" i="2" s="1"/>
  <c r="CB85" i="2" s="1"/>
  <c r="CA75" i="2"/>
  <c r="CA124" i="2" s="1"/>
  <c r="CD30" i="2"/>
  <c r="CD46" i="2" s="1"/>
  <c r="CD47" i="2" s="1"/>
  <c r="CC46" i="2"/>
  <c r="CC47" i="2" s="1"/>
  <c r="K37" i="13" l="1"/>
  <c r="BX39" i="2" s="1"/>
  <c r="K32" i="13" s="1"/>
  <c r="CC151" i="2"/>
  <c r="CC147" i="2" s="1"/>
  <c r="CC19" i="2" s="1"/>
  <c r="K18" i="13"/>
  <c r="K27" i="13"/>
  <c r="BX38" i="2"/>
  <c r="BX161" i="2"/>
  <c r="BX28" i="2"/>
  <c r="BX155" i="2"/>
  <c r="BX158" i="2" s="1"/>
  <c r="BX160" i="2" s="1"/>
  <c r="BX165" i="2"/>
  <c r="K31" i="13" s="1"/>
  <c r="K15" i="13"/>
  <c r="K25" i="13" s="1"/>
  <c r="BX31" i="2"/>
  <c r="BX43" i="2"/>
  <c r="BX97" i="2"/>
  <c r="BX101" i="2" s="1"/>
  <c r="BX49" i="2"/>
  <c r="BY114" i="2"/>
  <c r="BY163" i="2" s="1"/>
  <c r="BX120" i="2"/>
  <c r="CB19" i="2"/>
  <c r="O52" i="13"/>
  <c r="O50" i="13" s="1"/>
  <c r="CD62" i="2"/>
  <c r="CD61" i="2" s="1"/>
  <c r="CC61" i="2"/>
  <c r="CC141" i="2"/>
  <c r="CC142" i="2" s="1"/>
  <c r="CC82" i="2" s="1"/>
  <c r="CC85" i="2" s="1"/>
  <c r="CB75" i="2"/>
  <c r="CB124" i="2" s="1"/>
  <c r="CD151" i="2"/>
  <c r="CD147" i="2" s="1"/>
  <c r="P52" i="13"/>
  <c r="P50" i="13" s="1"/>
  <c r="P44" i="13"/>
  <c r="CD143" i="2"/>
  <c r="K42" i="13" l="1"/>
  <c r="K45" i="13" s="1"/>
  <c r="K30" i="13" s="1"/>
  <c r="BX35" i="2"/>
  <c r="Q44" i="13"/>
  <c r="Q52" i="13"/>
  <c r="Q50" i="13" s="1"/>
  <c r="CD19" i="2"/>
  <c r="CD141" i="2"/>
  <c r="CD75" i="2" s="1"/>
  <c r="CC75" i="2"/>
  <c r="CC124" i="2" s="1"/>
  <c r="BX162" i="2"/>
  <c r="BX164" i="2" s="1"/>
  <c r="CD142" i="2" l="1"/>
  <c r="CD82" i="2" s="1"/>
  <c r="CD85" i="2" s="1"/>
  <c r="CD124" i="2" l="1"/>
  <c r="AO71" i="2" l="1"/>
  <c r="AP65" i="2" s="1"/>
  <c r="AO73" i="2"/>
  <c r="AO38" i="2" l="1"/>
  <c r="AO159" i="2"/>
  <c r="AO157" i="2"/>
  <c r="AO156" i="2"/>
  <c r="AO158" i="2" s="1"/>
  <c r="AO131" i="2"/>
  <c r="AO91" i="2"/>
  <c r="AO68" i="2"/>
  <c r="CA71" i="2"/>
  <c r="AP135" i="2"/>
  <c r="AP81" i="1"/>
  <c r="AP98" i="2"/>
  <c r="AP137" i="2"/>
  <c r="AP67" i="2"/>
  <c r="BY72" i="2"/>
  <c r="BY73" i="2" s="1"/>
  <c r="AP71" i="2"/>
  <c r="AO160" i="2" l="1"/>
  <c r="AO162" i="2" s="1"/>
  <c r="AO164" i="2" s="1"/>
  <c r="BY91" i="2"/>
  <c r="BY131" i="2"/>
  <c r="BY156" i="2"/>
  <c r="BY157" i="2"/>
  <c r="BY159" i="2"/>
  <c r="AP82" i="1"/>
  <c r="AQ71" i="2"/>
  <c r="AP68" i="2"/>
  <c r="AP136" i="2"/>
  <c r="AP72" i="2"/>
  <c r="AQ65" i="2"/>
  <c r="CB71" i="2"/>
  <c r="AQ67" i="2" l="1"/>
  <c r="AQ135" i="2"/>
  <c r="AQ81" i="1"/>
  <c r="AQ98" i="2"/>
  <c r="AQ137" i="2"/>
  <c r="AQ136" i="2"/>
  <c r="AQ72" i="2"/>
  <c r="AR65" i="2"/>
  <c r="AR67" i="2" s="1"/>
  <c r="CC71" i="2"/>
  <c r="AQ68" i="2"/>
  <c r="AR71" i="2"/>
  <c r="CD71" i="2" l="1"/>
  <c r="AR136" i="2"/>
  <c r="AR72" i="2"/>
  <c r="AS65" i="2"/>
  <c r="BZ65" i="2" s="1"/>
  <c r="AQ82" i="1"/>
  <c r="AR68" i="2"/>
  <c r="AS71" i="2"/>
  <c r="AR135" i="2"/>
  <c r="AR81" i="1"/>
  <c r="AR98" i="2"/>
  <c r="AR137" i="2"/>
  <c r="BZ81" i="1" l="1"/>
  <c r="BZ82" i="1" s="1"/>
  <c r="BZ98" i="2"/>
  <c r="M38" i="13" s="1"/>
  <c r="BZ66" i="2"/>
  <c r="CA66" i="2" s="1"/>
  <c r="BZ137" i="2"/>
  <c r="BZ135" i="2"/>
  <c r="AS81" i="1"/>
  <c r="AS98" i="2"/>
  <c r="AS137" i="2"/>
  <c r="AS135" i="2"/>
  <c r="AS67" i="2"/>
  <c r="AR82" i="1"/>
  <c r="AS68" i="2" l="1"/>
  <c r="BZ67" i="2"/>
  <c r="CB66" i="2"/>
  <c r="AS82" i="1"/>
  <c r="AS136" i="2"/>
  <c r="AS72" i="2"/>
  <c r="AN17" i="1"/>
  <c r="AN19" i="1"/>
  <c r="AN39" i="1"/>
  <c r="BZ72" i="2" l="1"/>
  <c r="BZ136" i="2"/>
  <c r="BZ68" i="2"/>
  <c r="CA67" i="2"/>
  <c r="CB65" i="2" s="1"/>
  <c r="CA65" i="2"/>
  <c r="CC66" i="2"/>
  <c r="BY19" i="1"/>
  <c r="BY39" i="1"/>
  <c r="M29" i="13"/>
  <c r="M65" i="13" s="1"/>
  <c r="CB81" i="1" l="1"/>
  <c r="CB82" i="1" s="1"/>
  <c r="CB98" i="2"/>
  <c r="O38" i="13" s="1"/>
  <c r="CB135" i="2"/>
  <c r="CB137" i="2"/>
  <c r="CD66" i="2"/>
  <c r="CA135" i="2"/>
  <c r="CA81" i="1"/>
  <c r="CA82" i="1" s="1"/>
  <c r="CA137" i="2"/>
  <c r="CA98" i="2"/>
  <c r="N38" i="13" s="1"/>
  <c r="CA68" i="2"/>
  <c r="CA136" i="2"/>
  <c r="CB67" i="2"/>
  <c r="CC65" i="2" s="1"/>
  <c r="CA72" i="2"/>
  <c r="CC67" i="2" l="1"/>
  <c r="CC81" i="1"/>
  <c r="CC82" i="1" s="1"/>
  <c r="CC98" i="2"/>
  <c r="P38" i="13" s="1"/>
  <c r="CC137" i="2"/>
  <c r="CC135" i="2"/>
  <c r="CD65" i="2"/>
  <c r="CB68" i="2"/>
  <c r="CB136" i="2"/>
  <c r="CB72" i="2"/>
  <c r="CD67" i="2" l="1"/>
  <c r="CD137" i="2"/>
  <c r="CD81" i="1"/>
  <c r="CD82" i="1" s="1"/>
  <c r="CD135" i="2"/>
  <c r="CD98" i="2"/>
  <c r="Q38" i="13" s="1"/>
  <c r="CC68" i="2"/>
  <c r="CC136" i="2"/>
  <c r="CC72" i="2"/>
  <c r="CD68" i="2" l="1"/>
  <c r="CD136" i="2"/>
  <c r="CD72" i="2"/>
  <c r="N54" i="1"/>
  <c r="C93" i="12"/>
  <c r="E93" i="12"/>
  <c r="F93" i="12"/>
  <c r="G93" i="12"/>
  <c r="H93" i="12"/>
  <c r="I93" i="12"/>
  <c r="C94" i="12"/>
  <c r="G94" i="12" s="1"/>
  <c r="E94" i="12"/>
  <c r="O54" i="1" s="1"/>
  <c r="F94" i="12"/>
  <c r="C95" i="12"/>
  <c r="D95" i="12"/>
  <c r="E95" i="12"/>
  <c r="P54" i="1" s="1"/>
  <c r="F95" i="12"/>
  <c r="I95" i="12" s="1"/>
  <c r="G95" i="12"/>
  <c r="H95" i="12"/>
  <c r="C96" i="12"/>
  <c r="G96" i="12" s="1"/>
  <c r="D96" i="12"/>
  <c r="H96" i="12" s="1"/>
  <c r="E96" i="12"/>
  <c r="Q54" i="1" s="1"/>
  <c r="F96" i="12"/>
  <c r="C97" i="12"/>
  <c r="D97" i="12"/>
  <c r="E97" i="12"/>
  <c r="F97" i="12"/>
  <c r="C98" i="12"/>
  <c r="D98" i="12"/>
  <c r="H98" i="12" s="1"/>
  <c r="E98" i="12"/>
  <c r="S54" i="1" s="1"/>
  <c r="F98" i="12"/>
  <c r="I98" i="12"/>
  <c r="C99" i="12"/>
  <c r="G99" i="12" s="1"/>
  <c r="D99" i="12"/>
  <c r="H99" i="12" s="1"/>
  <c r="E99" i="12"/>
  <c r="T54" i="1" s="1"/>
  <c r="T55" i="1" s="1"/>
  <c r="F99" i="12"/>
  <c r="I99" i="12"/>
  <c r="C100" i="12"/>
  <c r="D100" i="12"/>
  <c r="E100" i="12"/>
  <c r="U54" i="1" s="1"/>
  <c r="F100" i="12"/>
  <c r="H100" i="12"/>
  <c r="I100" i="12"/>
  <c r="C101" i="12"/>
  <c r="G101" i="12" s="1"/>
  <c r="D101" i="12"/>
  <c r="E101" i="12"/>
  <c r="F101" i="12"/>
  <c r="C102" i="12"/>
  <c r="D102" i="12"/>
  <c r="E102" i="12"/>
  <c r="W54" i="1" s="1"/>
  <c r="F102" i="12"/>
  <c r="I102" i="12" s="1"/>
  <c r="G102" i="12"/>
  <c r="C103" i="12"/>
  <c r="D103" i="12"/>
  <c r="H103" i="12" s="1"/>
  <c r="E103" i="12"/>
  <c r="F103" i="12"/>
  <c r="C104" i="12"/>
  <c r="G104" i="12" s="1"/>
  <c r="D104" i="12"/>
  <c r="E104" i="12"/>
  <c r="Y54" i="1" s="1"/>
  <c r="F104" i="12"/>
  <c r="I104" i="12" s="1"/>
  <c r="C105" i="12"/>
  <c r="D105" i="12"/>
  <c r="E105" i="12"/>
  <c r="F105" i="12"/>
  <c r="I105" i="12"/>
  <c r="C106" i="12"/>
  <c r="G106" i="12" s="1"/>
  <c r="D106" i="12"/>
  <c r="H106" i="12" s="1"/>
  <c r="E106" i="12"/>
  <c r="AA54" i="1" s="1"/>
  <c r="F106" i="12"/>
  <c r="C107" i="12"/>
  <c r="D107" i="12"/>
  <c r="E107" i="12"/>
  <c r="AB54" i="1" s="1"/>
  <c r="AC56" i="1" s="1"/>
  <c r="F107" i="12"/>
  <c r="I107" i="12" s="1"/>
  <c r="G107" i="12"/>
  <c r="H107" i="12"/>
  <c r="C108" i="12"/>
  <c r="G108" i="12" s="1"/>
  <c r="D108" i="12"/>
  <c r="H108" i="12" s="1"/>
  <c r="E108" i="12"/>
  <c r="AC54" i="1" s="1"/>
  <c r="AD56" i="1" s="1"/>
  <c r="F108" i="12"/>
  <c r="C109" i="12"/>
  <c r="G109" i="12" s="1"/>
  <c r="D109" i="12"/>
  <c r="E109" i="12"/>
  <c r="AD54" i="1" s="1"/>
  <c r="F109" i="12"/>
  <c r="I109" i="12" s="1"/>
  <c r="C110" i="12"/>
  <c r="D110" i="12"/>
  <c r="H110" i="12" s="1"/>
  <c r="E110" i="12"/>
  <c r="AE54" i="1" s="1"/>
  <c r="F110" i="12"/>
  <c r="I110" i="12"/>
  <c r="C111" i="12"/>
  <c r="G111" i="12" s="1"/>
  <c r="D111" i="12"/>
  <c r="E111" i="12"/>
  <c r="AF54" i="1" s="1"/>
  <c r="F111" i="12"/>
  <c r="I111" i="12" s="1"/>
  <c r="C112" i="12"/>
  <c r="D112" i="12"/>
  <c r="E112" i="12"/>
  <c r="AG54" i="1" s="1"/>
  <c r="F112" i="12"/>
  <c r="H112" i="12"/>
  <c r="I112" i="12"/>
  <c r="C113" i="12"/>
  <c r="G113" i="12" s="1"/>
  <c r="D113" i="12"/>
  <c r="E113" i="12"/>
  <c r="AH54" i="1" s="1"/>
  <c r="F113" i="12"/>
  <c r="I113" i="12" s="1"/>
  <c r="C114" i="12"/>
  <c r="D114" i="12"/>
  <c r="H114" i="12" s="1"/>
  <c r="E114" i="12"/>
  <c r="AI54" i="1" s="1"/>
  <c r="F114" i="12"/>
  <c r="I114" i="12" s="1"/>
  <c r="G114" i="12"/>
  <c r="C115" i="12"/>
  <c r="D115" i="12"/>
  <c r="H115" i="12" s="1"/>
  <c r="E115" i="12"/>
  <c r="F115" i="12"/>
  <c r="C116" i="12"/>
  <c r="G116" i="12" s="1"/>
  <c r="D116" i="12"/>
  <c r="H116" i="12" s="1"/>
  <c r="E116" i="12"/>
  <c r="AK54" i="1" s="1"/>
  <c r="F116" i="12"/>
  <c r="I116" i="12"/>
  <c r="C117" i="12"/>
  <c r="D117" i="12"/>
  <c r="E117" i="12"/>
  <c r="AL54" i="1" s="1"/>
  <c r="F117" i="12"/>
  <c r="I117" i="12"/>
  <c r="C118" i="12"/>
  <c r="G118" i="12" s="1"/>
  <c r="D118" i="12"/>
  <c r="H118" i="12" s="1"/>
  <c r="E118" i="12"/>
  <c r="AM54" i="1" s="1"/>
  <c r="F118" i="12"/>
  <c r="I118" i="12" s="1"/>
  <c r="C119" i="12"/>
  <c r="D119" i="12"/>
  <c r="E119" i="12"/>
  <c r="AN54" i="1" s="1"/>
  <c r="F119" i="12"/>
  <c r="I119" i="12" s="1"/>
  <c r="G119" i="12"/>
  <c r="H119" i="12"/>
  <c r="C120" i="12"/>
  <c r="G120" i="12" s="1"/>
  <c r="D120" i="12"/>
  <c r="E120" i="12"/>
  <c r="AO54" i="1" s="1"/>
  <c r="F120" i="12"/>
  <c r="C121" i="12"/>
  <c r="D121" i="12"/>
  <c r="H121" i="12" s="1"/>
  <c r="E121" i="12"/>
  <c r="F121" i="12"/>
  <c r="I121" i="12" s="1"/>
  <c r="C122" i="12"/>
  <c r="D122" i="12"/>
  <c r="H122" i="12" s="1"/>
  <c r="E122" i="12"/>
  <c r="AQ54" i="1" s="1"/>
  <c r="F122" i="12"/>
  <c r="I122" i="12" s="1"/>
  <c r="C123" i="12"/>
  <c r="G123" i="12" s="1"/>
  <c r="D123" i="12"/>
  <c r="H123" i="12" s="1"/>
  <c r="E123" i="12"/>
  <c r="AR54" i="1" s="1"/>
  <c r="AS56" i="1" s="1"/>
  <c r="F123" i="12"/>
  <c r="I123" i="12" s="1"/>
  <c r="C124" i="12"/>
  <c r="D124" i="12"/>
  <c r="E124" i="12"/>
  <c r="AS54" i="1" s="1"/>
  <c r="F124" i="12"/>
  <c r="I124" i="12" s="1"/>
  <c r="G124" i="12"/>
  <c r="H124" i="12"/>
  <c r="C125" i="12"/>
  <c r="G125" i="12" s="1"/>
  <c r="D125" i="12"/>
  <c r="H125" i="12" s="1"/>
  <c r="E125" i="12"/>
  <c r="F125" i="12"/>
  <c r="C126" i="12"/>
  <c r="D126" i="12"/>
  <c r="H126" i="12" s="1"/>
  <c r="E126" i="12"/>
  <c r="F126" i="12"/>
  <c r="I126" i="12" s="1"/>
  <c r="G126" i="12"/>
  <c r="C127" i="12"/>
  <c r="D127" i="12"/>
  <c r="E127" i="12"/>
  <c r="F127" i="12"/>
  <c r="C128" i="12"/>
  <c r="G128" i="12" s="1"/>
  <c r="D128" i="12"/>
  <c r="E128" i="12"/>
  <c r="F128" i="12"/>
  <c r="I128" i="12"/>
  <c r="H101" i="12" l="1"/>
  <c r="G110" i="12"/>
  <c r="G98" i="12"/>
  <c r="G122" i="12"/>
  <c r="AI55" i="1"/>
  <c r="AJ65" i="1" s="1"/>
  <c r="H128" i="12"/>
  <c r="I125" i="12"/>
  <c r="G121" i="12"/>
  <c r="H109" i="12"/>
  <c r="H102" i="12"/>
  <c r="I97" i="12"/>
  <c r="I7" i="12" s="1"/>
  <c r="H120" i="12"/>
  <c r="AK55" i="1"/>
  <c r="AL65" i="1" s="1"/>
  <c r="I120" i="12"/>
  <c r="Y55" i="1"/>
  <c r="Z65" i="1" s="1"/>
  <c r="H94" i="12"/>
  <c r="AS55" i="1"/>
  <c r="H111" i="12"/>
  <c r="I108" i="12"/>
  <c r="I106" i="12"/>
  <c r="H104" i="12"/>
  <c r="I101" i="12"/>
  <c r="G97" i="12"/>
  <c r="H127" i="12"/>
  <c r="H113" i="12"/>
  <c r="I96" i="12"/>
  <c r="I94" i="12"/>
  <c r="AB56" i="1"/>
  <c r="AA55" i="1"/>
  <c r="AB65" i="1" s="1"/>
  <c r="AJ54" i="1"/>
  <c r="AJ55" i="1" s="1"/>
  <c r="AK65" i="1" s="1"/>
  <c r="I115" i="12"/>
  <c r="G115" i="12"/>
  <c r="G105" i="12"/>
  <c r="H105" i="12"/>
  <c r="G117" i="12"/>
  <c r="H117" i="12"/>
  <c r="X54" i="1"/>
  <c r="I103" i="12"/>
  <c r="AL56" i="1"/>
  <c r="AL55" i="1"/>
  <c r="AM65" i="1" s="1"/>
  <c r="G103" i="12"/>
  <c r="G127" i="12"/>
  <c r="I127" i="12"/>
  <c r="O56" i="1"/>
  <c r="O57" i="1" s="1"/>
  <c r="N55" i="1"/>
  <c r="AH55" i="1"/>
  <c r="AI65" i="1" s="1"/>
  <c r="AI56" i="1"/>
  <c r="AI57" i="1" s="1"/>
  <c r="AJ56" i="1"/>
  <c r="V54" i="1"/>
  <c r="BU54" i="1"/>
  <c r="AR55" i="1"/>
  <c r="AS65" i="1" s="1"/>
  <c r="AM56" i="1"/>
  <c r="AM55" i="1"/>
  <c r="AN65" i="1" s="1"/>
  <c r="H97" i="12"/>
  <c r="P56" i="1"/>
  <c r="P57" i="1" s="1"/>
  <c r="O55" i="1"/>
  <c r="R56" i="1"/>
  <c r="R57" i="1" s="1"/>
  <c r="Q55" i="1"/>
  <c r="AG56" i="1"/>
  <c r="AG57" i="1" s="1"/>
  <c r="AF55" i="1"/>
  <c r="AG65" i="1" s="1"/>
  <c r="AC55" i="1"/>
  <c r="AD65" i="1" s="1"/>
  <c r="BZ54" i="1"/>
  <c r="AP54" i="1"/>
  <c r="R54" i="1"/>
  <c r="BT54" i="1"/>
  <c r="AK56" i="1"/>
  <c r="AK57" i="1" s="1"/>
  <c r="G112" i="12"/>
  <c r="W55" i="1"/>
  <c r="X65" i="1" s="1"/>
  <c r="X56" i="1"/>
  <c r="X57" i="1" s="1"/>
  <c r="G100" i="12"/>
  <c r="AE56" i="1"/>
  <c r="BX54" i="1"/>
  <c r="AN56" i="1"/>
  <c r="AN57" i="1" s="1"/>
  <c r="AN55" i="1"/>
  <c r="AO65" i="1" s="1"/>
  <c r="Q56" i="1"/>
  <c r="Q57" i="1" s="1"/>
  <c r="P55" i="1"/>
  <c r="Z56" i="1"/>
  <c r="BW54" i="1"/>
  <c r="AH56" i="1"/>
  <c r="AG55" i="1"/>
  <c r="AH65" i="1" s="1"/>
  <c r="U55" i="1"/>
  <c r="V65" i="1" s="1"/>
  <c r="BS54" i="1"/>
  <c r="V56" i="1"/>
  <c r="BY54" i="1"/>
  <c r="BY55" i="1" s="1"/>
  <c r="BV54" i="1"/>
  <c r="U56" i="1"/>
  <c r="AO56" i="1"/>
  <c r="AP56" i="1"/>
  <c r="AO55" i="1"/>
  <c r="AP65" i="1" s="1"/>
  <c r="AQ55" i="1"/>
  <c r="AR65" i="1" s="1"/>
  <c r="AR56" i="1"/>
  <c r="AR57" i="1" s="1"/>
  <c r="AF56" i="1"/>
  <c r="AF57" i="1" s="1"/>
  <c r="AE55" i="1"/>
  <c r="AF65" i="1" s="1"/>
  <c r="S55" i="1"/>
  <c r="T56" i="1"/>
  <c r="Z54" i="1"/>
  <c r="AD55" i="1" s="1"/>
  <c r="AE65" i="1" s="1"/>
  <c r="H7" i="12" l="1"/>
  <c r="AO57" i="1"/>
  <c r="G7" i="12"/>
  <c r="T57" i="1"/>
  <c r="X55" i="1"/>
  <c r="Y65" i="1" s="1"/>
  <c r="Y56" i="1"/>
  <c r="AB55" i="1"/>
  <c r="AC65" i="1" s="1"/>
  <c r="AR52" i="1"/>
  <c r="AR64" i="1"/>
  <c r="AR37" i="1"/>
  <c r="AR36" i="1" s="1"/>
  <c r="AR32" i="1" s="1"/>
  <c r="R64" i="1"/>
  <c r="R52" i="1"/>
  <c r="R53" i="1" s="1"/>
  <c r="BW56" i="1"/>
  <c r="BW55" i="1"/>
  <c r="AF52" i="1"/>
  <c r="AF53" i="1" s="1"/>
  <c r="AF64" i="1"/>
  <c r="AF37" i="1"/>
  <c r="AF36" i="1" s="1"/>
  <c r="AF32" i="1" s="1"/>
  <c r="X37" i="1"/>
  <c r="X36" i="1" s="1"/>
  <c r="X32" i="1" s="1"/>
  <c r="X52" i="1"/>
  <c r="X53" i="1" s="1"/>
  <c r="X64" i="1"/>
  <c r="AI52" i="1"/>
  <c r="AI53" i="1" s="1"/>
  <c r="AI64" i="1"/>
  <c r="AI37" i="1"/>
  <c r="AI36" i="1" s="1"/>
  <c r="AI32" i="1" s="1"/>
  <c r="Z57" i="1"/>
  <c r="AK37" i="1"/>
  <c r="AK36" i="1" s="1"/>
  <c r="AK32" i="1" s="1"/>
  <c r="AK52" i="1"/>
  <c r="AK53" i="1" s="1"/>
  <c r="AK64" i="1"/>
  <c r="P64" i="1"/>
  <c r="P52" i="1"/>
  <c r="P53" i="1" s="1"/>
  <c r="O52" i="1"/>
  <c r="O53" i="1" s="1"/>
  <c r="O64" i="1"/>
  <c r="BX56" i="1"/>
  <c r="BX57" i="1" s="1"/>
  <c r="AH57" i="1"/>
  <c r="BZ56" i="1"/>
  <c r="BZ57" i="1" s="1"/>
  <c r="AP57" i="1"/>
  <c r="BT55" i="1"/>
  <c r="BT56" i="1"/>
  <c r="Q52" i="1"/>
  <c r="Q53" i="1" s="1"/>
  <c r="Q64" i="1"/>
  <c r="BV55" i="1"/>
  <c r="BV56" i="1"/>
  <c r="AP55" i="1"/>
  <c r="AQ65" i="1" s="1"/>
  <c r="AQ56" i="1"/>
  <c r="AQ57" i="1" s="1"/>
  <c r="AD57" i="1"/>
  <c r="AS57" i="1"/>
  <c r="U57" i="1"/>
  <c r="AA56" i="1"/>
  <c r="AA57" i="1" s="1"/>
  <c r="Z55" i="1"/>
  <c r="AA65" i="1" s="1"/>
  <c r="AN37" i="1"/>
  <c r="AN36" i="1" s="1"/>
  <c r="AN32" i="1" s="1"/>
  <c r="AN64" i="1"/>
  <c r="AN52" i="1"/>
  <c r="AN53" i="1" s="1"/>
  <c r="CA54" i="1"/>
  <c r="BZ55" i="1"/>
  <c r="AM57" i="1"/>
  <c r="T52" i="1"/>
  <c r="T53" i="1" s="1"/>
  <c r="T64" i="1"/>
  <c r="V57" i="1"/>
  <c r="BX55" i="1"/>
  <c r="BU55" i="1"/>
  <c r="BU56" i="1"/>
  <c r="BU57" i="1" s="1"/>
  <c r="S56" i="1"/>
  <c r="S57" i="1" s="1"/>
  <c r="R55" i="1"/>
  <c r="BS55" i="1"/>
  <c r="BS56" i="1"/>
  <c r="BS57" i="1" s="1"/>
  <c r="V55" i="1"/>
  <c r="W65" i="1" s="1"/>
  <c r="W56" i="1"/>
  <c r="W57" i="1" s="1"/>
  <c r="BY56" i="1"/>
  <c r="AL57" i="1"/>
  <c r="AB57" i="1"/>
  <c r="AO36" i="1"/>
  <c r="AO32" i="1" s="1"/>
  <c r="AO33" i="1" s="1"/>
  <c r="AO64" i="1"/>
  <c r="AO52" i="1"/>
  <c r="AG52" i="1"/>
  <c r="AG53" i="1" s="1"/>
  <c r="AG64" i="1"/>
  <c r="AG37" i="1"/>
  <c r="AG36" i="1" s="1"/>
  <c r="AG32" i="1" s="1"/>
  <c r="AJ57" i="1"/>
  <c r="BY57" i="1" l="1"/>
  <c r="BW57" i="1"/>
  <c r="AH52" i="1"/>
  <c r="AH53" i="1" s="1"/>
  <c r="AH64" i="1"/>
  <c r="AH37" i="1"/>
  <c r="AH36" i="1" s="1"/>
  <c r="AH32" i="1" s="1"/>
  <c r="AK34" i="1"/>
  <c r="AK33" i="1"/>
  <c r="BW37" i="1"/>
  <c r="BW36" i="1" s="1"/>
  <c r="BW52" i="1"/>
  <c r="BW53" i="1" s="1"/>
  <c r="BW64" i="1"/>
  <c r="BX37" i="1"/>
  <c r="BX36" i="1" s="1"/>
  <c r="BX64" i="1"/>
  <c r="BX52" i="1"/>
  <c r="BX53" i="1" s="1"/>
  <c r="Z37" i="1"/>
  <c r="Z36" i="1" s="1"/>
  <c r="Z32" i="1" s="1"/>
  <c r="Z52" i="1"/>
  <c r="Z53" i="1" s="1"/>
  <c r="Z64" i="1"/>
  <c r="U52" i="1"/>
  <c r="U53" i="1" s="1"/>
  <c r="U64" i="1"/>
  <c r="W52" i="1"/>
  <c r="W53" i="1" s="1"/>
  <c r="W37" i="1"/>
  <c r="W36" i="1" s="1"/>
  <c r="W32" i="1" s="1"/>
  <c r="W64" i="1"/>
  <c r="AQ52" i="1"/>
  <c r="AQ37" i="1"/>
  <c r="AQ36" i="1" s="1"/>
  <c r="AQ32" i="1" s="1"/>
  <c r="AQ64" i="1"/>
  <c r="AI34" i="1"/>
  <c r="AI33" i="1"/>
  <c r="BY37" i="1"/>
  <c r="BY36" i="1" s="1"/>
  <c r="BY64" i="1"/>
  <c r="BY52" i="1"/>
  <c r="AM37" i="1"/>
  <c r="AM36" i="1" s="1"/>
  <c r="AM32" i="1" s="1"/>
  <c r="AM52" i="1"/>
  <c r="AM53" i="1" s="1"/>
  <c r="AM64" i="1"/>
  <c r="AR33" i="1"/>
  <c r="AB37" i="1"/>
  <c r="AB36" i="1" s="1"/>
  <c r="AB32" i="1" s="1"/>
  <c r="AB64" i="1"/>
  <c r="AB52" i="1"/>
  <c r="AB53" i="1" s="1"/>
  <c r="AS52" i="1"/>
  <c r="AS64" i="1"/>
  <c r="AS37" i="1"/>
  <c r="AS36" i="1" s="1"/>
  <c r="AJ37" i="1"/>
  <c r="AJ36" i="1" s="1"/>
  <c r="AJ32" i="1" s="1"/>
  <c r="AJ52" i="1"/>
  <c r="AJ53" i="1" s="1"/>
  <c r="AJ64" i="1"/>
  <c r="AE57" i="1"/>
  <c r="BV57" i="1"/>
  <c r="AP37" i="1"/>
  <c r="AP36" i="1" s="1"/>
  <c r="AP32" i="1" s="1"/>
  <c r="AP52" i="1"/>
  <c r="AP64" i="1"/>
  <c r="AG34" i="1"/>
  <c r="AG33" i="1"/>
  <c r="BS52" i="1"/>
  <c r="BS53" i="1" s="1"/>
  <c r="BS64" i="1"/>
  <c r="CB54" i="1"/>
  <c r="CA56" i="1"/>
  <c r="CA57" i="1" s="1"/>
  <c r="CA55" i="1"/>
  <c r="BZ37" i="1"/>
  <c r="BZ36" i="1" s="1"/>
  <c r="BZ64" i="1"/>
  <c r="BZ52" i="1"/>
  <c r="V52" i="1"/>
  <c r="V53" i="1" s="1"/>
  <c r="V64" i="1"/>
  <c r="V37" i="1"/>
  <c r="V36" i="1" s="1"/>
  <c r="V32" i="1" s="1"/>
  <c r="BU52" i="1"/>
  <c r="BU53" i="1" s="1"/>
  <c r="BU64" i="1"/>
  <c r="BU37" i="1"/>
  <c r="BU36" i="1" s="1"/>
  <c r="AA37" i="1"/>
  <c r="AA36" i="1" s="1"/>
  <c r="AA32" i="1" s="1"/>
  <c r="AA52" i="1"/>
  <c r="AA53" i="1" s="1"/>
  <c r="AA64" i="1"/>
  <c r="AL37" i="1"/>
  <c r="AL36" i="1" s="1"/>
  <c r="AL32" i="1" s="1"/>
  <c r="AL52" i="1"/>
  <c r="AL53" i="1" s="1"/>
  <c r="AL64" i="1"/>
  <c r="X34" i="1"/>
  <c r="X33" i="1"/>
  <c r="Y57" i="1"/>
  <c r="AC57" i="1"/>
  <c r="AD52" i="1"/>
  <c r="AD53" i="1" s="1"/>
  <c r="AD37" i="1"/>
  <c r="AD36" i="1" s="1"/>
  <c r="AD32" i="1" s="1"/>
  <c r="AD64" i="1"/>
  <c r="S52" i="1"/>
  <c r="S53" i="1" s="1"/>
  <c r="S64" i="1"/>
  <c r="AN34" i="1"/>
  <c r="AN33" i="1"/>
  <c r="BT57" i="1"/>
  <c r="AF34" i="1"/>
  <c r="AF33" i="1"/>
  <c r="BT52" i="1" l="1"/>
  <c r="BT53" i="1" s="1"/>
  <c r="BT64" i="1"/>
  <c r="AD33" i="1"/>
  <c r="AD34" i="1"/>
  <c r="AB34" i="1"/>
  <c r="AB33" i="1"/>
  <c r="AQ33" i="1"/>
  <c r="AA34" i="1"/>
  <c r="AA33" i="1"/>
  <c r="AM33" i="1"/>
  <c r="AM34" i="1"/>
  <c r="W34" i="1"/>
  <c r="W33" i="1"/>
  <c r="AJ34" i="1"/>
  <c r="AJ33" i="1"/>
  <c r="AC37" i="1"/>
  <c r="AC36" i="1" s="1"/>
  <c r="AC32" i="1" s="1"/>
  <c r="AC52" i="1"/>
  <c r="AC53" i="1" s="1"/>
  <c r="AC64" i="1"/>
  <c r="AH34" i="1"/>
  <c r="AH33" i="1"/>
  <c r="BX32" i="1"/>
  <c r="AP33" i="1"/>
  <c r="BY32" i="1"/>
  <c r="BY33" i="1" s="1"/>
  <c r="AL33" i="1"/>
  <c r="AL34" i="1"/>
  <c r="AE52" i="1"/>
  <c r="AE53" i="1" s="1"/>
  <c r="AE64" i="1"/>
  <c r="AE37" i="1"/>
  <c r="AE36" i="1" s="1"/>
  <c r="AE32" i="1" s="1"/>
  <c r="BW32" i="1" s="1"/>
  <c r="CC54" i="1"/>
  <c r="CB55" i="1"/>
  <c r="CB56" i="1"/>
  <c r="CB57" i="1" s="1"/>
  <c r="Y37" i="1"/>
  <c r="Y36" i="1" s="1"/>
  <c r="Y32" i="1" s="1"/>
  <c r="BU32" i="1" s="1"/>
  <c r="Y52" i="1"/>
  <c r="Y53" i="1" s="1"/>
  <c r="Y64" i="1"/>
  <c r="V34" i="1"/>
  <c r="V33" i="1"/>
  <c r="CA37" i="1"/>
  <c r="CA36" i="1" s="1"/>
  <c r="CA52" i="1"/>
  <c r="CA64" i="1"/>
  <c r="BV37" i="1"/>
  <c r="BV36" i="1" s="1"/>
  <c r="BV52" i="1"/>
  <c r="BV53" i="1" s="1"/>
  <c r="BV64" i="1"/>
  <c r="Z34" i="1"/>
  <c r="Z33" i="1"/>
  <c r="BU34" i="1" l="1"/>
  <c r="BU33" i="1"/>
  <c r="BW34" i="1"/>
  <c r="BW33" i="1"/>
  <c r="CD54" i="1"/>
  <c r="CC55" i="1"/>
  <c r="CC56" i="1"/>
  <c r="CC57" i="1" s="1"/>
  <c r="AC33" i="1"/>
  <c r="AC34" i="1"/>
  <c r="BX34" i="1"/>
  <c r="BX33" i="1"/>
  <c r="Y34" i="1"/>
  <c r="Y33" i="1"/>
  <c r="AE33" i="1"/>
  <c r="AE34" i="1"/>
  <c r="CB52" i="1"/>
  <c r="CB37" i="1"/>
  <c r="CB36" i="1" s="1"/>
  <c r="CB64" i="1"/>
  <c r="BV32" i="1"/>
  <c r="CC52" i="1" l="1"/>
  <c r="CC37" i="1"/>
  <c r="CC36" i="1" s="1"/>
  <c r="CC64" i="1"/>
  <c r="CD55" i="1"/>
  <c r="CD56" i="1"/>
  <c r="CD57" i="1" s="1"/>
  <c r="BV34" i="1"/>
  <c r="BV33" i="1"/>
  <c r="CD52" i="1" l="1"/>
  <c r="CD64" i="1"/>
  <c r="CD37" i="1"/>
  <c r="CD36" i="1" s="1"/>
  <c r="AO28" i="1" l="1"/>
  <c r="AO53" i="1" s="1"/>
  <c r="AO25" i="1"/>
  <c r="AO24" i="1"/>
  <c r="AO23" i="1"/>
  <c r="AO79" i="2"/>
  <c r="AO77" i="2"/>
  <c r="AP77" i="2" s="1"/>
  <c r="AO30" i="1"/>
  <c r="BY5" i="2"/>
  <c r="BY77" i="2" s="1"/>
  <c r="BY6" i="2"/>
  <c r="AO22" i="1"/>
  <c r="AO27" i="1"/>
  <c r="AO34" i="1" s="1"/>
  <c r="AP34" i="1" s="1"/>
  <c r="AS32" i="1"/>
  <c r="AS33" i="1"/>
  <c r="L6" i="13" l="1"/>
  <c r="L7" i="13" s="1"/>
  <c r="BY7" i="2"/>
  <c r="BY14" i="2"/>
  <c r="AP27" i="1"/>
  <c r="AQ34" i="1"/>
  <c r="AQ77" i="2"/>
  <c r="BZ32" i="1"/>
  <c r="BZ33" i="1" s="1"/>
  <c r="AO29" i="1"/>
  <c r="BY22" i="1"/>
  <c r="BY79" i="2"/>
  <c r="L9" i="13" l="1"/>
  <c r="L35" i="13" s="1"/>
  <c r="BY15" i="2"/>
  <c r="BY16" i="2"/>
  <c r="BY23" i="2"/>
  <c r="AR77" i="2"/>
  <c r="AO78" i="1"/>
  <c r="AO68" i="1"/>
  <c r="AO69" i="1" s="1"/>
  <c r="AQ27" i="1"/>
  <c r="AR34" i="1"/>
  <c r="AP29" i="1"/>
  <c r="AP30" i="1"/>
  <c r="AP22" i="1"/>
  <c r="AP28" i="1"/>
  <c r="AP53" i="1" s="1"/>
  <c r="BY24" i="1"/>
  <c r="BY23" i="1"/>
  <c r="BY67" i="1"/>
  <c r="BY68" i="1" s="1"/>
  <c r="BY69" i="1" s="1"/>
  <c r="BY27" i="1"/>
  <c r="AS34" i="1" l="1"/>
  <c r="AS27" i="1" s="1"/>
  <c r="AR27" i="1"/>
  <c r="AQ28" i="1"/>
  <c r="AQ53" i="1" s="1"/>
  <c r="AQ30" i="1"/>
  <c r="AQ29" i="1"/>
  <c r="AQ22" i="1"/>
  <c r="BY78" i="1"/>
  <c r="AO80" i="1"/>
  <c r="AO79" i="1"/>
  <c r="AO84" i="1"/>
  <c r="BY34" i="1"/>
  <c r="BY29" i="1"/>
  <c r="BY28" i="1"/>
  <c r="BY53" i="1" s="1"/>
  <c r="AS77" i="2"/>
  <c r="BY27" i="2"/>
  <c r="BY25" i="2"/>
  <c r="L11" i="13"/>
  <c r="L13" i="13" s="1"/>
  <c r="L36" i="13" s="1"/>
  <c r="L41" i="13" s="1"/>
  <c r="BY34" i="2"/>
  <c r="BY17" i="2"/>
  <c r="BY51" i="2"/>
  <c r="BY146" i="2"/>
  <c r="BY41" i="2" s="1"/>
  <c r="L17" i="13"/>
  <c r="BY171" i="2"/>
  <c r="BY176" i="2" s="1"/>
  <c r="BY177" i="2" s="1"/>
  <c r="AP67" i="1"/>
  <c r="AP23" i="1"/>
  <c r="AP24" i="1"/>
  <c r="AP5" i="2"/>
  <c r="AP25" i="1"/>
  <c r="L37" i="13"/>
  <c r="AO85" i="1" l="1"/>
  <c r="AO88" i="1" s="1"/>
  <c r="AO87" i="1"/>
  <c r="AO86" i="1"/>
  <c r="BY39" i="2"/>
  <c r="L32" i="13" s="1"/>
  <c r="L42" i="13"/>
  <c r="L45" i="13" s="1"/>
  <c r="L30" i="13" s="1"/>
  <c r="BY79" i="1"/>
  <c r="BY84" i="1"/>
  <c r="AP100" i="1" a="1"/>
  <c r="AP100" i="1" s="1"/>
  <c r="AQ100" i="1" a="1"/>
  <c r="AQ100" i="1" s="1"/>
  <c r="L15" i="13"/>
  <c r="L25" i="13" s="1"/>
  <c r="BZ114" i="2"/>
  <c r="BZ163" i="2" s="1"/>
  <c r="BY37" i="2"/>
  <c r="BY97" i="2"/>
  <c r="BY101" i="2" s="1"/>
  <c r="BY120" i="2"/>
  <c r="BY31" i="2"/>
  <c r="BY35" i="2" s="1"/>
  <c r="BY155" i="2"/>
  <c r="BY158" i="2" s="1"/>
  <c r="BY160" i="2" s="1"/>
  <c r="BY161" i="2"/>
  <c r="BY162" i="2" s="1"/>
  <c r="BY164" i="2" s="1"/>
  <c r="BY43" i="2"/>
  <c r="BY49" i="2"/>
  <c r="BY165" i="2"/>
  <c r="L31" i="13" s="1"/>
  <c r="BY28" i="2"/>
  <c r="BY38" i="2"/>
  <c r="L18" i="13"/>
  <c r="L27" i="13"/>
  <c r="AQ25" i="1"/>
  <c r="AQ24" i="1"/>
  <c r="AQ67" i="1"/>
  <c r="AQ5" i="2"/>
  <c r="AQ23" i="1"/>
  <c r="AP6" i="2"/>
  <c r="AP79" i="2"/>
  <c r="AP76" i="2"/>
  <c r="AR22" i="1"/>
  <c r="AR28" i="1"/>
  <c r="AR53" i="1" s="1"/>
  <c r="AR29" i="1"/>
  <c r="AR30" i="1"/>
  <c r="AP68" i="1"/>
  <c r="AP69" i="1" s="1"/>
  <c r="AP78" i="1"/>
  <c r="AS29" i="1"/>
  <c r="AS28" i="1"/>
  <c r="AS53" i="1" s="1"/>
  <c r="AS30" i="1"/>
  <c r="AS22" i="1"/>
  <c r="AS25" i="1" l="1"/>
  <c r="AS67" i="1"/>
  <c r="AS24" i="1"/>
  <c r="AS23" i="1"/>
  <c r="AS5" i="2"/>
  <c r="AP93" i="2"/>
  <c r="AP80" i="2"/>
  <c r="AP99" i="2"/>
  <c r="AP14" i="2"/>
  <c r="AP7" i="2"/>
  <c r="BY86" i="1"/>
  <c r="BY85" i="1"/>
  <c r="AP84" i="1"/>
  <c r="AP79" i="1"/>
  <c r="AQ6" i="2"/>
  <c r="AQ79" i="2"/>
  <c r="AQ76" i="2"/>
  <c r="AQ68" i="1"/>
  <c r="AQ69" i="1" s="1"/>
  <c r="AQ78" i="1"/>
  <c r="AR23" i="1"/>
  <c r="AR24" i="1"/>
  <c r="AR5" i="2"/>
  <c r="AR25" i="1"/>
  <c r="AR67" i="1"/>
  <c r="BZ22" i="1"/>
  <c r="AR100" i="1" l="1" a="1"/>
  <c r="AR100" i="1" s="1"/>
  <c r="AS100" i="1" a="1"/>
  <c r="AS100" i="1" s="1"/>
  <c r="AR68" i="1"/>
  <c r="AR69" i="1" s="1"/>
  <c r="AR78" i="1"/>
  <c r="AR6" i="2"/>
  <c r="AR79" i="2"/>
  <c r="AR76" i="2"/>
  <c r="BZ5" i="2"/>
  <c r="AP15" i="2"/>
  <c r="AP16" i="2"/>
  <c r="AP23" i="2"/>
  <c r="AP24" i="2" s="1"/>
  <c r="AQ79" i="1"/>
  <c r="AQ84" i="1"/>
  <c r="AS6" i="2"/>
  <c r="AS79" i="2"/>
  <c r="AS76" i="2"/>
  <c r="AQ80" i="2"/>
  <c r="AQ99" i="2"/>
  <c r="AQ93" i="2"/>
  <c r="AQ14" i="2"/>
  <c r="AQ7" i="2"/>
  <c r="BZ23" i="1"/>
  <c r="BZ67" i="1"/>
  <c r="BZ68" i="1" s="1"/>
  <c r="BZ69" i="1" s="1"/>
  <c r="BZ24" i="1"/>
  <c r="BZ27" i="1"/>
  <c r="AP86" i="1"/>
  <c r="AP85" i="1"/>
  <c r="AP88" i="1" s="1"/>
  <c r="AP87" i="1"/>
  <c r="AS68" i="1"/>
  <c r="AS69" i="1" s="1"/>
  <c r="AS78" i="1"/>
  <c r="AS7" i="2" l="1"/>
  <c r="AS14" i="2"/>
  <c r="AQ85" i="1"/>
  <c r="AQ88" i="1" s="1"/>
  <c r="AQ86" i="1"/>
  <c r="AQ87" i="1"/>
  <c r="BZ28" i="1"/>
  <c r="BZ53" i="1" s="1"/>
  <c r="BZ34" i="1"/>
  <c r="CA34" i="1" s="1"/>
  <c r="CB34" i="1" s="1"/>
  <c r="CC34" i="1" s="1"/>
  <c r="CD34" i="1" s="1"/>
  <c r="CA32" i="1"/>
  <c r="BZ29" i="1"/>
  <c r="AP27" i="2"/>
  <c r="AP34" i="2"/>
  <c r="AP17" i="2"/>
  <c r="AQ16" i="2"/>
  <c r="AQ15" i="2"/>
  <c r="AS93" i="2"/>
  <c r="AS99" i="2"/>
  <c r="AS80" i="2"/>
  <c r="BZ76" i="2"/>
  <c r="AR84" i="1"/>
  <c r="AR79" i="1"/>
  <c r="BZ78" i="1"/>
  <c r="BZ79" i="2"/>
  <c r="CA79" i="2" s="1"/>
  <c r="BZ6" i="2"/>
  <c r="AS84" i="1"/>
  <c r="AS79" i="1"/>
  <c r="AR93" i="2"/>
  <c r="AR80" i="2"/>
  <c r="AR99" i="2"/>
  <c r="AR14" i="2"/>
  <c r="AR7" i="2"/>
  <c r="CB79" i="2" l="1"/>
  <c r="BZ77" i="2"/>
  <c r="CA77" i="2" s="1"/>
  <c r="BZ93" i="2"/>
  <c r="BZ94" i="2" s="1"/>
  <c r="BZ99" i="2"/>
  <c r="M40" i="13" s="1"/>
  <c r="BZ80" i="2"/>
  <c r="BZ79" i="1"/>
  <c r="BZ84" i="1"/>
  <c r="AP37" i="2"/>
  <c r="AP114" i="2"/>
  <c r="AP163" i="2" s="1"/>
  <c r="AP31" i="2"/>
  <c r="AP35" i="2" s="1"/>
  <c r="AP43" i="2"/>
  <c r="AP165" i="2"/>
  <c r="AP88" i="2"/>
  <c r="AP161" i="2"/>
  <c r="AP97" i="2"/>
  <c r="AP102" i="2" s="1"/>
  <c r="AP155" i="2"/>
  <c r="AP28" i="2"/>
  <c r="CA27" i="1"/>
  <c r="CA33" i="1"/>
  <c r="AR15" i="2"/>
  <c r="AR16" i="2"/>
  <c r="AS87" i="1"/>
  <c r="AS85" i="1"/>
  <c r="AS88" i="1" s="1"/>
  <c r="AS86" i="1"/>
  <c r="AQ17" i="2"/>
  <c r="AQ34" i="2"/>
  <c r="AS15" i="2"/>
  <c r="AS16" i="2"/>
  <c r="AR85" i="1"/>
  <c r="AR88" i="1" s="1"/>
  <c r="AR87" i="1"/>
  <c r="AR86" i="1"/>
  <c r="BZ14" i="2"/>
  <c r="BZ7" i="2"/>
  <c r="M6" i="13"/>
  <c r="M7" i="13" s="1"/>
  <c r="CA28" i="1" l="1"/>
  <c r="CA53" i="1" s="1"/>
  <c r="CA29" i="1"/>
  <c r="CB32" i="1"/>
  <c r="CA22" i="1"/>
  <c r="AR34" i="2"/>
  <c r="AR17" i="2"/>
  <c r="AS34" i="2"/>
  <c r="AS17" i="2"/>
  <c r="AP42" i="2"/>
  <c r="AP90" i="2"/>
  <c r="CB77" i="2"/>
  <c r="M9" i="13"/>
  <c r="M35" i="13" s="1"/>
  <c r="BZ16" i="2"/>
  <c r="BZ15" i="2"/>
  <c r="BZ83" i="1"/>
  <c r="BZ85" i="1"/>
  <c r="BZ86" i="1"/>
  <c r="AP107" i="2"/>
  <c r="AP126" i="2"/>
  <c r="AP130" i="2" s="1"/>
  <c r="CC79" i="2"/>
  <c r="CC77" i="2" l="1"/>
  <c r="CA24" i="1"/>
  <c r="CA23" i="1"/>
  <c r="CA5" i="2"/>
  <c r="CA67" i="1"/>
  <c r="CB33" i="1"/>
  <c r="CB27" i="1"/>
  <c r="BZ34" i="2"/>
  <c r="BZ171" i="2"/>
  <c r="M17" i="13"/>
  <c r="M18" i="13" s="1"/>
  <c r="BZ17" i="2"/>
  <c r="CD79" i="2"/>
  <c r="AQ129" i="2"/>
  <c r="AP56" i="2"/>
  <c r="CB29" i="1" l="1"/>
  <c r="CB28" i="1"/>
  <c r="CB53" i="1" s="1"/>
  <c r="CB22" i="1"/>
  <c r="CC32" i="1"/>
  <c r="CA68" i="1"/>
  <c r="CA69" i="1" s="1"/>
  <c r="CA78" i="1"/>
  <c r="AP63" i="2"/>
  <c r="AP73" i="2" s="1"/>
  <c r="AQ18" i="2"/>
  <c r="AP144" i="2"/>
  <c r="AP145" i="2" s="1"/>
  <c r="AP146" i="2" s="1"/>
  <c r="AP41" i="2" s="1"/>
  <c r="CA6" i="2"/>
  <c r="CA78" i="2"/>
  <c r="CA76" i="2"/>
  <c r="CA93" i="2" s="1"/>
  <c r="CA94" i="2" s="1"/>
  <c r="CD77" i="2"/>
  <c r="N6" i="13" l="1"/>
  <c r="N7" i="13" s="1"/>
  <c r="CA7" i="2"/>
  <c r="CA14" i="2"/>
  <c r="AP159" i="2"/>
  <c r="AP156" i="2"/>
  <c r="AP157" i="2"/>
  <c r="AP38" i="2"/>
  <c r="AP131" i="2"/>
  <c r="AP91" i="2"/>
  <c r="CA84" i="1"/>
  <c r="CA79" i="1"/>
  <c r="CC33" i="1"/>
  <c r="CC27" i="1"/>
  <c r="AQ23" i="2"/>
  <c r="AQ24" i="2" s="1"/>
  <c r="CB24" i="1"/>
  <c r="CB5" i="2"/>
  <c r="CB23" i="1"/>
  <c r="CB67" i="1"/>
  <c r="CA80" i="2"/>
  <c r="CA99" i="2"/>
  <c r="N40" i="13" s="1"/>
  <c r="AQ27" i="2" l="1"/>
  <c r="CB68" i="1"/>
  <c r="CB69" i="1" s="1"/>
  <c r="CB78" i="1"/>
  <c r="CA15" i="2"/>
  <c r="N9" i="13"/>
  <c r="N35" i="13" s="1"/>
  <c r="CA16" i="2"/>
  <c r="AP158" i="2"/>
  <c r="AP160" i="2" s="1"/>
  <c r="AP162" i="2" s="1"/>
  <c r="AP164" i="2" s="1"/>
  <c r="CC28" i="1"/>
  <c r="CC53" i="1" s="1"/>
  <c r="CC22" i="1"/>
  <c r="CC29" i="1"/>
  <c r="CD32" i="1"/>
  <c r="CA86" i="1"/>
  <c r="CA85" i="1"/>
  <c r="CB6" i="2"/>
  <c r="CB78" i="2"/>
  <c r="CB76" i="2"/>
  <c r="CB93" i="2" s="1"/>
  <c r="CB94" i="2" s="1"/>
  <c r="CC67" i="1" l="1"/>
  <c r="CC24" i="1"/>
  <c r="CC23" i="1"/>
  <c r="CC5" i="2"/>
  <c r="CA34" i="2"/>
  <c r="CA17" i="2"/>
  <c r="N17" i="13"/>
  <c r="N18" i="13" s="1"/>
  <c r="CB79" i="1"/>
  <c r="CB84" i="1"/>
  <c r="CB99" i="2"/>
  <c r="O40" i="13" s="1"/>
  <c r="CB80" i="2"/>
  <c r="O6" i="13"/>
  <c r="O7" i="13" s="1"/>
  <c r="CB7" i="2"/>
  <c r="CB14" i="2"/>
  <c r="CD27" i="1"/>
  <c r="CD33" i="1"/>
  <c r="AQ161" i="2"/>
  <c r="AQ114" i="2"/>
  <c r="AQ163" i="2" s="1"/>
  <c r="AQ43" i="2"/>
  <c r="AQ97" i="2"/>
  <c r="AQ102" i="2" s="1"/>
  <c r="AQ155" i="2"/>
  <c r="AQ28" i="2"/>
  <c r="AQ37" i="2"/>
  <c r="AQ31" i="2"/>
  <c r="AQ35" i="2" s="1"/>
  <c r="AQ88" i="2"/>
  <c r="CB86" i="1" l="1"/>
  <c r="CB85" i="1"/>
  <c r="CC78" i="1"/>
  <c r="CC68" i="1"/>
  <c r="CC69" i="1" s="1"/>
  <c r="AQ126" i="2"/>
  <c r="AQ130" i="2" s="1"/>
  <c r="AQ107" i="2"/>
  <c r="AQ42" i="2"/>
  <c r="AQ90" i="2"/>
  <c r="CD29" i="1"/>
  <c r="CD28" i="1"/>
  <c r="CD53" i="1" s="1"/>
  <c r="CD22" i="1"/>
  <c r="CC6" i="2"/>
  <c r="CC78" i="2"/>
  <c r="CC76" i="2"/>
  <c r="CC93" i="2" s="1"/>
  <c r="CC94" i="2" s="1"/>
  <c r="AQ165" i="2"/>
  <c r="CB15" i="2"/>
  <c r="O9" i="13"/>
  <c r="O35" i="13" s="1"/>
  <c r="CB16" i="2"/>
  <c r="CB17" i="2" l="1"/>
  <c r="O17" i="13"/>
  <c r="O18" i="13" s="1"/>
  <c r="CB34" i="2"/>
  <c r="AR129" i="2"/>
  <c r="AQ56" i="2"/>
  <c r="P6" i="13"/>
  <c r="P7" i="13" s="1"/>
  <c r="CC14" i="2"/>
  <c r="CC7" i="2"/>
  <c r="CD67" i="1"/>
  <c r="CD5" i="2"/>
  <c r="CD24" i="1"/>
  <c r="CD23" i="1"/>
  <c r="CC79" i="1"/>
  <c r="CC84" i="1"/>
  <c r="CC99" i="2"/>
  <c r="P40" i="13" s="1"/>
  <c r="CC80" i="2"/>
  <c r="CC85" i="1" l="1"/>
  <c r="CC86" i="1"/>
  <c r="CC16" i="2"/>
  <c r="P9" i="13"/>
  <c r="P35" i="13" s="1"/>
  <c r="CC15" i="2"/>
  <c r="AQ63" i="2"/>
  <c r="AQ73" i="2" s="1"/>
  <c r="AQ144" i="2"/>
  <c r="AQ145" i="2" s="1"/>
  <c r="AQ146" i="2" s="1"/>
  <c r="AQ41" i="2" s="1"/>
  <c r="AR18" i="2"/>
  <c r="CD68" i="1"/>
  <c r="CD69" i="1" s="1"/>
  <c r="CD78" i="1"/>
  <c r="CD6" i="2"/>
  <c r="CD78" i="2"/>
  <c r="CD76" i="2"/>
  <c r="CD93" i="2" s="1"/>
  <c r="CD94" i="2" s="1"/>
  <c r="AR23" i="2" l="1"/>
  <c r="AR24" i="2" s="1"/>
  <c r="AQ159" i="2"/>
  <c r="AQ157" i="2"/>
  <c r="AQ156" i="2"/>
  <c r="AQ158" i="2" s="1"/>
  <c r="AQ38" i="2"/>
  <c r="AQ91" i="2"/>
  <c r="AQ131" i="2"/>
  <c r="CC17" i="2"/>
  <c r="P17" i="13"/>
  <c r="P18" i="13" s="1"/>
  <c r="CC34" i="2"/>
  <c r="CD80" i="2"/>
  <c r="CD99" i="2"/>
  <c r="Q40" i="13" s="1"/>
  <c r="Q6" i="13"/>
  <c r="Q7" i="13" s="1"/>
  <c r="CD14" i="2"/>
  <c r="CD7" i="2"/>
  <c r="CD79" i="1"/>
  <c r="CD84" i="1"/>
  <c r="CD15" i="2" l="1"/>
  <c r="Q9" i="13"/>
  <c r="Q35" i="13" s="1"/>
  <c r="CD16" i="2"/>
  <c r="CD86" i="1"/>
  <c r="CD85" i="1"/>
  <c r="AR27" i="2"/>
  <c r="AQ160" i="2"/>
  <c r="AQ162" i="2" s="1"/>
  <c r="AQ164" i="2" s="1"/>
  <c r="AR155" i="2" l="1"/>
  <c r="AR114" i="2"/>
  <c r="AR163" i="2" s="1"/>
  <c r="AR31" i="2"/>
  <c r="AR35" i="2" s="1"/>
  <c r="AR28" i="2"/>
  <c r="AR97" i="2"/>
  <c r="AR102" i="2" s="1"/>
  <c r="AR161" i="2"/>
  <c r="AR43" i="2"/>
  <c r="AR165" i="2"/>
  <c r="AR88" i="2"/>
  <c r="Q17" i="13"/>
  <c r="Q18" i="13" s="1"/>
  <c r="CD17" i="2"/>
  <c r="CD34" i="2"/>
  <c r="AR42" i="2" l="1"/>
  <c r="AR90" i="2"/>
  <c r="AR37" i="2"/>
  <c r="AR107" i="2"/>
  <c r="AR126" i="2"/>
  <c r="AR130" i="2" s="1"/>
  <c r="AR56" i="2" l="1"/>
  <c r="AS129" i="2"/>
  <c r="AS18" i="2" l="1"/>
  <c r="AR63" i="2"/>
  <c r="AR73" i="2" s="1"/>
  <c r="AR144" i="2"/>
  <c r="AR145" i="2" s="1"/>
  <c r="AR146" i="2" s="1"/>
  <c r="AR41" i="2" s="1"/>
  <c r="AR157" i="2" l="1"/>
  <c r="AR156" i="2"/>
  <c r="AR158" i="2" s="1"/>
  <c r="AR159" i="2"/>
  <c r="AR160" i="2" s="1"/>
  <c r="AR162" i="2" s="1"/>
  <c r="AR164" i="2" s="1"/>
  <c r="AR38" i="2"/>
  <c r="AR131" i="2"/>
  <c r="AR91" i="2"/>
  <c r="AS23" i="2"/>
  <c r="AS24" i="2" s="1"/>
  <c r="BZ18" i="2"/>
  <c r="BZ23" i="2" l="1"/>
  <c r="M11" i="13" s="1"/>
  <c r="M10" i="13"/>
  <c r="M43" i="13" s="1"/>
  <c r="BZ172" i="2"/>
  <c r="AS27" i="2"/>
  <c r="BZ24" i="2"/>
  <c r="BZ27" i="2" l="1"/>
  <c r="BZ25" i="2"/>
  <c r="BZ174" i="2"/>
  <c r="M12" i="13"/>
  <c r="AS161" i="2"/>
  <c r="AS155" i="2"/>
  <c r="AS37" i="2"/>
  <c r="AS31" i="2"/>
  <c r="AS35" i="2" s="1"/>
  <c r="AS165" i="2"/>
  <c r="AS114" i="2"/>
  <c r="AS163" i="2" s="1"/>
  <c r="AS97" i="2"/>
  <c r="AS102" i="2" s="1"/>
  <c r="AS43" i="2"/>
  <c r="AS28" i="2"/>
  <c r="AS88" i="2"/>
  <c r="BZ176" i="2"/>
  <c r="BZ177" i="2" s="1"/>
  <c r="M13" i="13" l="1"/>
  <c r="M36" i="13" s="1"/>
  <c r="M37" i="13" s="1"/>
  <c r="AS126" i="2"/>
  <c r="AS130" i="2" s="1"/>
  <c r="AS107" i="2"/>
  <c r="BZ102" i="2"/>
  <c r="BZ88" i="2"/>
  <c r="BZ165" i="2" s="1"/>
  <c r="M31" i="13" s="1"/>
  <c r="AS42" i="2"/>
  <c r="AS90" i="2"/>
  <c r="AW37" i="2"/>
  <c r="AW165" i="2"/>
  <c r="BZ161" i="2"/>
  <c r="BZ43" i="2"/>
  <c r="BZ155" i="2"/>
  <c r="BZ28" i="2"/>
  <c r="CA113" i="2"/>
  <c r="M15" i="13"/>
  <c r="BZ120" i="2"/>
  <c r="BZ31" i="2"/>
  <c r="BZ35" i="2" s="1"/>
  <c r="BZ97" i="2"/>
  <c r="BZ49" i="2"/>
  <c r="BZ126" i="2" l="1"/>
  <c r="BZ107" i="2"/>
  <c r="BZ101" i="2"/>
  <c r="AS56" i="2"/>
  <c r="M41" i="13"/>
  <c r="BZ39" i="2"/>
  <c r="M32" i="13" s="1"/>
  <c r="M42" i="13"/>
  <c r="BZ50" i="2"/>
  <c r="BZ42" i="2"/>
  <c r="M26" i="13"/>
  <c r="BZ90" i="2"/>
  <c r="CA32" i="2"/>
  <c r="CA52" i="2"/>
  <c r="CA116" i="2"/>
  <c r="CA117" i="2" s="1"/>
  <c r="CA115" i="2"/>
  <c r="CA119" i="2"/>
  <c r="CA125" i="2"/>
  <c r="BZ37" i="2"/>
  <c r="M62" i="13" l="1"/>
  <c r="M45" i="13"/>
  <c r="M30" i="13" s="1"/>
  <c r="CA121" i="2"/>
  <c r="AS144" i="2"/>
  <c r="AS145" i="2" s="1"/>
  <c r="AS146" i="2" s="1"/>
  <c r="AS41" i="2" s="1"/>
  <c r="AS63" i="2"/>
  <c r="AS73" i="2" s="1"/>
  <c r="BZ56" i="2"/>
  <c r="AW148" i="2"/>
  <c r="BZ54" i="2"/>
  <c r="AS156" i="2" l="1"/>
  <c r="AS158" i="2" s="1"/>
  <c r="AS157" i="2"/>
  <c r="AS159" i="2"/>
  <c r="AS160" i="2" s="1"/>
  <c r="AS162" i="2" s="1"/>
  <c r="AS164" i="2" s="1"/>
  <c r="AW157" i="2"/>
  <c r="AW159" i="2"/>
  <c r="AW38" i="2"/>
  <c r="AW156" i="2"/>
  <c r="AW158" i="2" s="1"/>
  <c r="AS38" i="2"/>
  <c r="AS131" i="2"/>
  <c r="AS91" i="2"/>
  <c r="CA122" i="2"/>
  <c r="N29" i="13"/>
  <c r="BZ144" i="2"/>
  <c r="BZ145" i="2" s="1"/>
  <c r="BZ63" i="2"/>
  <c r="BZ73" i="2" s="1"/>
  <c r="BZ130" i="2"/>
  <c r="BZ148" i="2"/>
  <c r="BZ152" i="2" s="1"/>
  <c r="AW160" i="2" l="1"/>
  <c r="AW162" i="2" s="1"/>
  <c r="AW164" i="2" s="1"/>
  <c r="BZ131" i="2"/>
  <c r="CA129" i="2"/>
  <c r="BZ156" i="2"/>
  <c r="BZ159" i="2"/>
  <c r="BZ157" i="2"/>
  <c r="BZ38" i="2"/>
  <c r="BZ91" i="2"/>
  <c r="CC152" i="2"/>
  <c r="CC148" i="2" s="1"/>
  <c r="CA152" i="2"/>
  <c r="CA148" i="2" s="1"/>
  <c r="CA18" i="2" s="1"/>
  <c r="CB152" i="2"/>
  <c r="CB148" i="2" s="1"/>
  <c r="BZ48" i="2"/>
  <c r="M22" i="13"/>
  <c r="BZ146" i="2"/>
  <c r="BZ41" i="2" s="1"/>
  <c r="BZ158" i="2" l="1"/>
  <c r="BZ160" i="2" s="1"/>
  <c r="BZ162" i="2" s="1"/>
  <c r="BZ164" i="2" s="1"/>
  <c r="BZ51" i="2"/>
  <c r="BZ53" i="2"/>
  <c r="CD152" i="2"/>
  <c r="CD148" i="2" s="1"/>
  <c r="M23" i="13"/>
  <c r="M27" i="13" s="1"/>
  <c r="M64" i="13"/>
  <c r="N10" i="13"/>
  <c r="N43" i="13" s="1"/>
  <c r="CA23" i="2"/>
  <c r="M48" i="13" l="1"/>
  <c r="N11" i="13"/>
  <c r="CA24" i="2"/>
  <c r="CA27" i="2" l="1"/>
  <c r="N12" i="13"/>
  <c r="N13" i="13" l="1"/>
  <c r="N36" i="13" s="1"/>
  <c r="N37" i="13" s="1"/>
  <c r="CA28" i="2"/>
  <c r="CA155" i="2"/>
  <c r="CA165" i="2"/>
  <c r="N31" i="13" s="1"/>
  <c r="CA43" i="2"/>
  <c r="CA97" i="2"/>
  <c r="CA102" i="2" s="1"/>
  <c r="CA31" i="2"/>
  <c r="CA35" i="2" s="1"/>
  <c r="N15" i="13"/>
  <c r="N25" i="13" s="1"/>
  <c r="CB113" i="2"/>
  <c r="CA37" i="2"/>
  <c r="CA49" i="2"/>
  <c r="CA161" i="2"/>
  <c r="CA88" i="2"/>
  <c r="CA120" i="2"/>
  <c r="CA39" i="2" l="1"/>
  <c r="N32" i="13" s="1"/>
  <c r="CB119" i="2"/>
  <c r="CB52" i="2"/>
  <c r="CB115" i="2"/>
  <c r="CB125" i="2"/>
  <c r="CB116" i="2"/>
  <c r="CB117" i="2" s="1"/>
  <c r="CB32" i="2"/>
  <c r="CA107" i="2"/>
  <c r="CA126" i="2"/>
  <c r="CA130" i="2" s="1"/>
  <c r="N26" i="13"/>
  <c r="CA50" i="2"/>
  <c r="CA42" i="2"/>
  <c r="CA90" i="2"/>
  <c r="N41" i="13"/>
  <c r="N42" i="13" s="1"/>
  <c r="N45" i="13" l="1"/>
  <c r="N30" i="13" s="1"/>
  <c r="CB129" i="2"/>
  <c r="CA56" i="2"/>
  <c r="CA54" i="2"/>
  <c r="CB121" i="2"/>
  <c r="CA63" i="2" l="1"/>
  <c r="CA73" i="2" s="1"/>
  <c r="CB18" i="2"/>
  <c r="CA144" i="2"/>
  <c r="CA145" i="2" s="1"/>
  <c r="CB122" i="2"/>
  <c r="O29" i="13"/>
  <c r="CA146" i="2" l="1"/>
  <c r="CA41" i="2" s="1"/>
  <c r="CA48" i="2"/>
  <c r="N22" i="13"/>
  <c r="N23" i="13" s="1"/>
  <c r="N27" i="13" s="1"/>
  <c r="O10" i="13"/>
  <c r="O43" i="13" s="1"/>
  <c r="CB23" i="2"/>
  <c r="CA156" i="2"/>
  <c r="CA159" i="2"/>
  <c r="CA157" i="2"/>
  <c r="CA38" i="2"/>
  <c r="CA91" i="2"/>
  <c r="CA131" i="2"/>
  <c r="CA158" i="2" l="1"/>
  <c r="O11" i="13"/>
  <c r="CB24" i="2"/>
  <c r="CA51" i="2"/>
  <c r="CA53" i="2"/>
  <c r="CA160" i="2"/>
  <c r="CA162" i="2" s="1"/>
  <c r="CA164" i="2" s="1"/>
  <c r="CB27" i="2" l="1"/>
  <c r="O12" i="13"/>
  <c r="O15" i="13" l="1"/>
  <c r="O25" i="13" s="1"/>
  <c r="CB49" i="2"/>
  <c r="CB97" i="2"/>
  <c r="CB102" i="2" s="1"/>
  <c r="CB31" i="2"/>
  <c r="CB35" i="2" s="1"/>
  <c r="CC113" i="2"/>
  <c r="CB43" i="2"/>
  <c r="CB165" i="2"/>
  <c r="O31" i="13" s="1"/>
  <c r="CB161" i="2"/>
  <c r="CB28" i="2"/>
  <c r="CB37" i="2"/>
  <c r="CB155" i="2"/>
  <c r="CB88" i="2"/>
  <c r="CB120" i="2"/>
  <c r="O13" i="13"/>
  <c r="O36" i="13" s="1"/>
  <c r="O37" i="13" s="1"/>
  <c r="CB39" i="2" l="1"/>
  <c r="O32" i="13" s="1"/>
  <c r="CC32" i="2"/>
  <c r="CC52" i="2"/>
  <c r="CC125" i="2"/>
  <c r="CC119" i="2"/>
  <c r="CC115" i="2"/>
  <c r="CC116" i="2"/>
  <c r="CC117" i="2" s="1"/>
  <c r="O41" i="13"/>
  <c r="O42" i="13" s="1"/>
  <c r="CB107" i="2"/>
  <c r="CB126" i="2"/>
  <c r="CB130" i="2" s="1"/>
  <c r="CB50" i="2"/>
  <c r="O26" i="13"/>
  <c r="CB42" i="2"/>
  <c r="CB90" i="2"/>
  <c r="O45" i="13" l="1"/>
  <c r="O30" i="13" s="1"/>
  <c r="CC121" i="2"/>
  <c r="CB54" i="2"/>
  <c r="CB56" i="2"/>
  <c r="CC129" i="2"/>
  <c r="CB144" i="2" l="1"/>
  <c r="CB145" i="2" s="1"/>
  <c r="CC18" i="2"/>
  <c r="CB63" i="2"/>
  <c r="CB73" i="2" s="1"/>
  <c r="P29" i="13"/>
  <c r="CC122" i="2"/>
  <c r="CB157" i="2" l="1"/>
  <c r="CB156" i="2"/>
  <c r="CB158" i="2" s="1"/>
  <c r="CB159" i="2"/>
  <c r="CB160" i="2" s="1"/>
  <c r="CB162" i="2" s="1"/>
  <c r="CB164" i="2" s="1"/>
  <c r="CB38" i="2"/>
  <c r="CB91" i="2"/>
  <c r="CB131" i="2"/>
  <c r="P10" i="13"/>
  <c r="P43" i="13" s="1"/>
  <c r="CC23" i="2"/>
  <c r="CB146" i="2"/>
  <c r="CB41" i="2" s="1"/>
  <c r="CB48" i="2"/>
  <c r="O22" i="13"/>
  <c r="O23" i="13" s="1"/>
  <c r="O27" i="13" s="1"/>
  <c r="P11" i="13" l="1"/>
  <c r="CC24" i="2"/>
  <c r="CB51" i="2"/>
  <c r="CB53" i="2"/>
  <c r="P12" i="13" l="1"/>
  <c r="CC27" i="2"/>
  <c r="CC43" i="2" l="1"/>
  <c r="CC155" i="2"/>
  <c r="CC28" i="2"/>
  <c r="CC31" i="2"/>
  <c r="CC35" i="2" s="1"/>
  <c r="CC97" i="2"/>
  <c r="CC102" i="2" s="1"/>
  <c r="P15" i="13"/>
  <c r="P25" i="13" s="1"/>
  <c r="CC49" i="2"/>
  <c r="CD113" i="2"/>
  <c r="CC37" i="2"/>
  <c r="CC161" i="2"/>
  <c r="CC88" i="2"/>
  <c r="CC165" i="2" s="1"/>
  <c r="P31" i="13" s="1"/>
  <c r="CC120" i="2"/>
  <c r="P13" i="13"/>
  <c r="P36" i="13" s="1"/>
  <c r="P37" i="13" s="1"/>
  <c r="P41" i="13"/>
  <c r="CC107" i="2" l="1"/>
  <c r="CC126" i="2"/>
  <c r="CC130" i="2" s="1"/>
  <c r="CC39" i="2"/>
  <c r="P32" i="13" s="1"/>
  <c r="P42" i="13"/>
  <c r="CD52" i="2"/>
  <c r="CD32" i="2"/>
  <c r="CD116" i="2"/>
  <c r="CD117" i="2" s="1"/>
  <c r="CD125" i="2"/>
  <c r="CD119" i="2"/>
  <c r="CD115" i="2"/>
  <c r="P26" i="13"/>
  <c r="CC50" i="2"/>
  <c r="CC42" i="2"/>
  <c r="CC90" i="2"/>
  <c r="CC54" i="2" l="1"/>
  <c r="CD121" i="2"/>
  <c r="P45" i="13"/>
  <c r="P30" i="13" s="1"/>
  <c r="CC56" i="2"/>
  <c r="CD129" i="2"/>
  <c r="CC63" i="2" l="1"/>
  <c r="CC73" i="2" s="1"/>
  <c r="CC144" i="2"/>
  <c r="CC145" i="2" s="1"/>
  <c r="CD18" i="2"/>
  <c r="CD122" i="2"/>
  <c r="Q29" i="13"/>
  <c r="CC156" i="2" l="1"/>
  <c r="CC159" i="2"/>
  <c r="CC157" i="2"/>
  <c r="CC38" i="2"/>
  <c r="CC91" i="2"/>
  <c r="CC131" i="2"/>
  <c r="Q10" i="13"/>
  <c r="Q43" i="13" s="1"/>
  <c r="CD23" i="2"/>
  <c r="CC48" i="2"/>
  <c r="P22" i="13"/>
  <c r="P23" i="13" s="1"/>
  <c r="P27" i="13" s="1"/>
  <c r="CC146" i="2"/>
  <c r="CC41" i="2" s="1"/>
  <c r="CC51" i="2" l="1"/>
  <c r="CC53" i="2"/>
  <c r="CC158" i="2"/>
  <c r="CC160" i="2" s="1"/>
  <c r="CC162" i="2" s="1"/>
  <c r="CC164" i="2" s="1"/>
  <c r="CD24" i="2"/>
  <c r="Q11" i="13"/>
  <c r="CD27" i="2" l="1"/>
  <c r="Q12" i="13"/>
  <c r="Q41" i="13" l="1"/>
  <c r="Q13" i="13"/>
  <c r="Q36" i="13" s="1"/>
  <c r="Q37" i="13" s="1"/>
  <c r="CD97" i="2"/>
  <c r="CD102" i="2" s="1"/>
  <c r="CD155" i="2"/>
  <c r="Q15" i="13"/>
  <c r="Q25" i="13" s="1"/>
  <c r="CD161" i="2"/>
  <c r="CD165" i="2"/>
  <c r="Q31" i="13" s="1"/>
  <c r="CD43" i="2"/>
  <c r="CD31" i="2"/>
  <c r="CD35" i="2" s="1"/>
  <c r="CD49" i="2"/>
  <c r="CD28" i="2"/>
  <c r="CD37" i="2"/>
  <c r="CD88" i="2"/>
  <c r="CD120" i="2"/>
  <c r="CD107" i="2" l="1"/>
  <c r="CD126" i="2"/>
  <c r="CD130" i="2" s="1"/>
  <c r="CD50" i="2"/>
  <c r="CD42" i="2"/>
  <c r="Q26" i="13"/>
  <c r="CD90" i="2"/>
  <c r="CD39" i="2"/>
  <c r="Q32" i="13" s="1"/>
  <c r="Q42" i="13"/>
  <c r="Q45" i="13" l="1"/>
  <c r="Q30" i="13" s="1"/>
  <c r="CD56" i="2"/>
  <c r="CD54" i="2"/>
  <c r="CD63" i="2" l="1"/>
  <c r="CD73" i="2" s="1"/>
  <c r="CD144" i="2"/>
  <c r="CD145" i="2" s="1"/>
  <c r="CD48" i="2" l="1"/>
  <c r="Q22" i="13"/>
  <c r="Q23" i="13" s="1"/>
  <c r="Q27" i="13" s="1"/>
  <c r="CD146" i="2"/>
  <c r="CD41" i="2" s="1"/>
  <c r="CD156" i="2"/>
  <c r="CD159" i="2"/>
  <c r="CD157" i="2"/>
  <c r="CD38" i="2"/>
  <c r="CD91" i="2"/>
  <c r="CD131" i="2"/>
  <c r="CD158" i="2" l="1"/>
  <c r="CD160" i="2"/>
  <c r="CD162" i="2" s="1"/>
  <c r="CD164" i="2" s="1"/>
  <c r="CD51" i="2"/>
  <c r="CD53" i="2"/>
  <c r="O48" i="13"/>
  <c r="O49" i="13"/>
  <c r="O55" i="13"/>
  <c r="Q55" i="13"/>
  <c r="Q49" i="13"/>
  <c r="Q48" i="13" s="1"/>
  <c r="R42" i="13" s="1"/>
  <c r="N55" i="13"/>
  <c r="N49" i="13"/>
  <c r="N48" i="13"/>
  <c r="N61" i="13" s="1"/>
  <c r="P55" i="13"/>
  <c r="P49" i="13"/>
  <c r="P48" i="13"/>
  <c r="O61" i="13" l="1"/>
  <c r="N62" i="13"/>
  <c r="O62" i="13" l="1"/>
  <c r="P61" i="13"/>
  <c r="Q61" i="13" l="1"/>
  <c r="P62" i="13"/>
  <c r="R61" i="13" l="1"/>
  <c r="R62" i="13" s="1"/>
  <c r="Q62" i="13"/>
  <c r="M63" i="13" l="1"/>
  <c r="M66" i="13" s="1"/>
  <c r="M68" i="13" s="1"/>
  <c r="M6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Sebastian Luparia</author>
    <author>camil</author>
  </authors>
  <commentList>
    <comment ref="R19" authorId="0" shapeId="0" xr:uid="{81AE7F0A-34C1-469A-B8D1-F8DF63B70CC8}">
      <text>
        <r>
          <rPr>
            <b/>
            <sz val="9"/>
            <color indexed="81"/>
            <rFont val="Tahoma"/>
            <family val="2"/>
          </rPr>
          <t>Sebastian Luparia:</t>
        </r>
        <r>
          <rPr>
            <sz val="9"/>
            <color indexed="81"/>
            <rFont val="Tahoma"/>
            <family val="2"/>
          </rPr>
          <t xml:space="preserve">
Los intereses fueron más altos ya que reconocimos un incremento en el valor de la opción de venta que tienen los accionistas minoritarios de 4e; lo anterior fue parcialmente compensado con una reducción en la deuda</t>
        </r>
      </text>
    </comment>
    <comment ref="I25" authorId="0" shapeId="0" xr:uid="{627655A7-462B-490C-B823-7EB4DF8521F9}">
      <text>
        <r>
          <rPr>
            <b/>
            <sz val="9"/>
            <color indexed="81"/>
            <rFont val="Tahoma"/>
            <family val="2"/>
          </rPr>
          <t>Sebastian Luparia:</t>
        </r>
        <r>
          <rPr>
            <sz val="9"/>
            <color indexed="81"/>
            <rFont val="Tahoma"/>
            <family val="2"/>
          </rPr>
          <t xml:space="preserve">
Tax rate. Lower non recurrent. incentivos del gov x invertir en innovacion. Guidance effective Tax 31%</t>
        </r>
      </text>
    </comment>
    <comment ref="BK30" authorId="0" shapeId="0" xr:uid="{00000000-0006-0000-0100-000001000000}">
      <text>
        <r>
          <rPr>
            <b/>
            <sz val="9"/>
            <color indexed="81"/>
            <rFont val="Tahoma"/>
            <family val="2"/>
          </rPr>
          <t>Sebastian Luparia:</t>
        </r>
        <r>
          <rPr>
            <sz val="9"/>
            <color indexed="81"/>
            <rFont val="Tahoma"/>
            <family val="2"/>
          </rPr>
          <t xml:space="preserve">
3x1 share split
</t>
        </r>
      </text>
    </comment>
    <comment ref="O75" authorId="0" shapeId="0" xr:uid="{7D9B56B0-32F9-4E1D-866A-9E494DC100A4}">
      <text>
        <r>
          <rPr>
            <b/>
            <sz val="9"/>
            <color indexed="81"/>
            <rFont val="Tahoma"/>
            <family val="2"/>
          </rPr>
          <t>Sebastian Luparia:</t>
        </r>
        <r>
          <rPr>
            <sz val="9"/>
            <color indexed="81"/>
            <rFont val="Tahoma"/>
            <family val="2"/>
          </rPr>
          <t xml:space="preserve">
aumenta x IFRS16</t>
        </r>
      </text>
    </comment>
    <comment ref="BX105" authorId="1" shapeId="0" xr:uid="{B818CF93-1233-4052-8D5F-566CD76DD3D4}">
      <text>
        <r>
          <rPr>
            <b/>
            <sz val="9"/>
            <color indexed="81"/>
            <rFont val="Tahoma"/>
            <family val="2"/>
          </rPr>
          <t>camil:</t>
        </r>
        <r>
          <rPr>
            <sz val="9"/>
            <color indexed="81"/>
            <rFont val="Tahoma"/>
            <family val="2"/>
          </rPr>
          <t xml:space="preserve">
$120mln usd guidance</t>
        </r>
      </text>
    </comment>
    <comment ref="BK111" authorId="0" shapeId="0" xr:uid="{00000000-0006-0000-0100-000003000000}">
      <text>
        <r>
          <rPr>
            <b/>
            <sz val="9"/>
            <color indexed="81"/>
            <rFont val="Tahoma"/>
            <family val="2"/>
          </rPr>
          <t>Sebastian Luparia:</t>
        </r>
        <r>
          <rPr>
            <sz val="9"/>
            <color indexed="81"/>
            <rFont val="Tahoma"/>
            <family val="2"/>
          </rPr>
          <t xml:space="preserve">
3x1 share split
</t>
        </r>
      </text>
    </comment>
    <comment ref="BQ146" authorId="0" shapeId="0" xr:uid="{FD950671-2CE2-470B-97DC-F7A26185852E}">
      <text>
        <r>
          <rPr>
            <b/>
            <sz val="9"/>
            <color indexed="81"/>
            <rFont val="Tahoma"/>
            <family val="2"/>
          </rPr>
          <t>Sebastian Luparia:</t>
        </r>
        <r>
          <rPr>
            <sz val="9"/>
            <color indexed="81"/>
            <rFont val="Tahoma"/>
            <family val="2"/>
          </rPr>
          <t xml:space="preserve">
hay que ajustarlo x hedges (-30bps aprox)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Sebastian Luparia</author>
    <author>Spiess, Jens (Research)</author>
    <author>camil</author>
    <author>usuario</author>
  </authors>
  <commentList>
    <comment ref="H22" authorId="0" shapeId="0" xr:uid="{00000000-0006-0000-0200-000002000000}">
      <text>
        <r>
          <rPr>
            <b/>
            <sz val="9"/>
            <color indexed="81"/>
            <rFont val="Tahoma"/>
            <family val="2"/>
          </rPr>
          <t>Sebastian Luparia:</t>
        </r>
        <r>
          <rPr>
            <sz val="9"/>
            <color indexed="81"/>
            <rFont val="Tahoma"/>
            <family val="2"/>
          </rPr>
          <t xml:space="preserve">
El programa de reducción de costos generó $300 millones de ahorros durante el trimestre y ayudó a reducir el impacto negativo de las materias primas.</t>
        </r>
      </text>
    </comment>
    <comment ref="I22" authorId="0" shapeId="0" xr:uid="{BB628802-E145-4AA1-99FD-4550B5BE106C}">
      <text>
        <r>
          <rPr>
            <b/>
            <sz val="9"/>
            <color indexed="81"/>
            <rFont val="Tahoma"/>
            <family val="2"/>
          </rPr>
          <t>Sebastian Luparia:</t>
        </r>
        <r>
          <rPr>
            <sz val="9"/>
            <color indexed="81"/>
            <rFont val="Tahoma"/>
            <family val="2"/>
          </rPr>
          <t xml:space="preserve">
Repite en el 4Q lo mismo que en el 3Q: 
El programa de reducción de costos generó $300 millones de ahorros durante el trimestre y ayudó a reducir el impacto negativo de las materias primas.</t>
        </r>
      </text>
    </comment>
    <comment ref="J22" authorId="0" shapeId="0" xr:uid="{D8244CD9-057F-4192-ADBF-2C2AD2500904}">
      <text>
        <r>
          <rPr>
            <b/>
            <sz val="9"/>
            <color indexed="81"/>
            <rFont val="Tahoma"/>
            <family val="2"/>
          </rPr>
          <t>Sebastian Luparia:</t>
        </r>
        <r>
          <rPr>
            <sz val="9"/>
            <color indexed="81"/>
            <rFont val="Tahoma"/>
            <family val="2"/>
          </rPr>
          <t xml:space="preserve">
cost saving MXN250MM in 1Q/18</t>
        </r>
      </text>
    </comment>
    <comment ref="K22" authorId="0" shapeId="0" xr:uid="{AC56CF2E-E9A8-4FD4-8F2C-C1F4CFC92623}">
      <text>
        <r>
          <rPr>
            <b/>
            <sz val="9"/>
            <color indexed="81"/>
            <rFont val="Tahoma"/>
            <family val="2"/>
          </rPr>
          <t>Sebastian Luparia:</t>
        </r>
        <r>
          <rPr>
            <sz val="9"/>
            <color indexed="81"/>
            <rFont val="Tahoma"/>
            <family val="2"/>
          </rPr>
          <t xml:space="preserve">
El programa de reducción de costos generó $350 millones de ahorros durante el trimestre</t>
        </r>
      </text>
    </comment>
    <comment ref="M22" authorId="0" shapeId="0" xr:uid="{6998A6BF-5953-4549-B7E9-EF02606AF49E}">
      <text>
        <r>
          <rPr>
            <b/>
            <sz val="9"/>
            <color indexed="81"/>
            <rFont val="Tahoma"/>
            <family val="2"/>
          </rPr>
          <t>Sebastian Luparia:</t>
        </r>
        <r>
          <rPr>
            <sz val="9"/>
            <color indexed="81"/>
            <rFont val="Tahoma"/>
            <family val="2"/>
          </rPr>
          <t xml:space="preserve">
otros MXN200MM de ahorro. Offset by cost pressure and FX</t>
        </r>
      </text>
    </comment>
    <comment ref="V44" authorId="1" shapeId="0" xr:uid="{9228908C-01DF-452B-A254-53A3B51CE8B7}">
      <text>
        <r>
          <rPr>
            <b/>
            <sz val="9"/>
            <color indexed="81"/>
            <rFont val="Tahoma"/>
            <family val="2"/>
          </rPr>
          <t>Spiess, Jens (Research):</t>
        </r>
        <r>
          <rPr>
            <sz val="9"/>
            <color indexed="81"/>
            <rFont val="Tahoma"/>
            <family val="2"/>
          </rPr>
          <t xml:space="preserve">
According to annual report 2018</t>
        </r>
      </text>
    </comment>
    <comment ref="W44" authorId="1" shapeId="0" xr:uid="{1AC06889-EB2B-45ED-9582-54E03B6CEC89}">
      <text>
        <r>
          <rPr>
            <b/>
            <sz val="9"/>
            <color indexed="81"/>
            <rFont val="Tahoma"/>
            <family val="2"/>
          </rPr>
          <t>Spiess, Jens (Research):</t>
        </r>
        <r>
          <rPr>
            <sz val="9"/>
            <color indexed="81"/>
            <rFont val="Tahoma"/>
            <family val="2"/>
          </rPr>
          <t xml:space="preserve">
According to annual report 2018</t>
        </r>
      </text>
    </comment>
    <comment ref="X44" authorId="1" shapeId="0" xr:uid="{4CDB419B-6C1A-478F-A16A-7208413A5200}">
      <text>
        <r>
          <rPr>
            <b/>
            <sz val="9"/>
            <color indexed="81"/>
            <rFont val="Tahoma"/>
            <family val="2"/>
          </rPr>
          <t>Spiess, Jens (Research):</t>
        </r>
        <r>
          <rPr>
            <sz val="9"/>
            <color indexed="81"/>
            <rFont val="Tahoma"/>
            <family val="2"/>
          </rPr>
          <t xml:space="preserve">
According to annual report 2018</t>
        </r>
      </text>
    </comment>
    <comment ref="Y44" authorId="1" shapeId="0" xr:uid="{B9D9BA94-1E5A-4951-B69A-56E665E832B7}">
      <text>
        <r>
          <rPr>
            <b/>
            <sz val="9"/>
            <color indexed="81"/>
            <rFont val="Tahoma"/>
            <family val="2"/>
          </rPr>
          <t>Spiess, Jens (Research):</t>
        </r>
        <r>
          <rPr>
            <sz val="9"/>
            <color indexed="81"/>
            <rFont val="Tahoma"/>
            <family val="2"/>
          </rPr>
          <t xml:space="preserve">
According to annual report 2018</t>
        </r>
      </text>
    </comment>
    <comment ref="Z44" authorId="1" shapeId="0" xr:uid="{71D7D4F4-CFB4-41E8-8A58-63C0CDBC5312}">
      <text>
        <r>
          <rPr>
            <b/>
            <sz val="9"/>
            <color indexed="81"/>
            <rFont val="Tahoma"/>
            <family val="2"/>
          </rPr>
          <t>Spiess, Jens (Research):</t>
        </r>
        <r>
          <rPr>
            <sz val="9"/>
            <color indexed="81"/>
            <rFont val="Tahoma"/>
            <family val="2"/>
          </rPr>
          <t xml:space="preserve">
According to annual report 2018</t>
        </r>
      </text>
    </comment>
    <comment ref="AA44" authorId="1" shapeId="0" xr:uid="{1A6326D6-D4D5-4994-8E12-CF4DFC611B27}">
      <text>
        <r>
          <rPr>
            <b/>
            <sz val="9"/>
            <color indexed="81"/>
            <rFont val="Tahoma"/>
            <family val="2"/>
          </rPr>
          <t>Spiess, Jens (Research):</t>
        </r>
        <r>
          <rPr>
            <sz val="9"/>
            <color indexed="81"/>
            <rFont val="Tahoma"/>
            <family val="2"/>
          </rPr>
          <t xml:space="preserve">
According to annual report 2018</t>
        </r>
      </text>
    </comment>
    <comment ref="AB44" authorId="1" shapeId="0" xr:uid="{1CFE302F-A719-420C-AED3-BB18E2E9576B}">
      <text>
        <r>
          <rPr>
            <b/>
            <sz val="9"/>
            <color indexed="81"/>
            <rFont val="Tahoma"/>
            <family val="2"/>
          </rPr>
          <t>Spiess, Jens (Research):</t>
        </r>
        <r>
          <rPr>
            <sz val="9"/>
            <color indexed="81"/>
            <rFont val="Tahoma"/>
            <family val="2"/>
          </rPr>
          <t xml:space="preserve">
According to annual report 2018</t>
        </r>
      </text>
    </comment>
    <comment ref="AC44" authorId="1" shapeId="0" xr:uid="{C2159B07-77F2-4B8C-98F8-0CF3395BD082}">
      <text>
        <r>
          <rPr>
            <b/>
            <sz val="9"/>
            <color indexed="81"/>
            <rFont val="Tahoma"/>
            <family val="2"/>
          </rPr>
          <t>Spiess, Jens (Research):</t>
        </r>
        <r>
          <rPr>
            <sz val="9"/>
            <color indexed="81"/>
            <rFont val="Tahoma"/>
            <family val="2"/>
          </rPr>
          <t xml:space="preserve">
According to annual report 2018</t>
        </r>
      </text>
    </comment>
    <comment ref="AD44" authorId="1" shapeId="0" xr:uid="{16BB1A64-8290-4D36-B038-29E25707D5CF}">
      <text>
        <r>
          <rPr>
            <b/>
            <sz val="9"/>
            <color indexed="81"/>
            <rFont val="Tahoma"/>
            <family val="2"/>
          </rPr>
          <t>Spiess, Jens (Research):</t>
        </r>
        <r>
          <rPr>
            <sz val="9"/>
            <color indexed="81"/>
            <rFont val="Tahoma"/>
            <family val="2"/>
          </rPr>
          <t xml:space="preserve">
According to annual report 2018</t>
        </r>
      </text>
    </comment>
    <comment ref="AE44" authorId="1" shapeId="0" xr:uid="{D2EE0C54-0112-4AF6-A393-93508D2DBD1D}">
      <text>
        <r>
          <rPr>
            <b/>
            <sz val="9"/>
            <color indexed="81"/>
            <rFont val="Tahoma"/>
            <family val="2"/>
          </rPr>
          <t>Spiess, Jens (Research):</t>
        </r>
        <r>
          <rPr>
            <sz val="9"/>
            <color indexed="81"/>
            <rFont val="Tahoma"/>
            <family val="2"/>
          </rPr>
          <t xml:space="preserve">
According to annual report 2018</t>
        </r>
      </text>
    </comment>
    <comment ref="AF44" authorId="1" shapeId="0" xr:uid="{CDA18936-2EE7-4348-B980-1A37B7594E1F}">
      <text>
        <r>
          <rPr>
            <b/>
            <sz val="9"/>
            <color indexed="81"/>
            <rFont val="Tahoma"/>
            <family val="2"/>
          </rPr>
          <t>Spiess, Jens (Research):</t>
        </r>
        <r>
          <rPr>
            <sz val="9"/>
            <color indexed="81"/>
            <rFont val="Tahoma"/>
            <family val="2"/>
          </rPr>
          <t xml:space="preserve">
According to annual report 2018</t>
        </r>
      </text>
    </comment>
    <comment ref="AG44" authorId="1" shapeId="0" xr:uid="{C46EFCA1-4AF0-4D88-8596-435DB3AFBDB2}">
      <text>
        <r>
          <rPr>
            <b/>
            <sz val="9"/>
            <color indexed="81"/>
            <rFont val="Tahoma"/>
            <family val="2"/>
          </rPr>
          <t>Spiess, Jens (Research):</t>
        </r>
        <r>
          <rPr>
            <sz val="9"/>
            <color indexed="81"/>
            <rFont val="Tahoma"/>
            <family val="2"/>
          </rPr>
          <t xml:space="preserve">
According to annual report 2018</t>
        </r>
      </text>
    </comment>
    <comment ref="AH44" authorId="1" shapeId="0" xr:uid="{1FA076D3-5617-40BA-A9BF-AF74CF051818}">
      <text>
        <r>
          <rPr>
            <b/>
            <sz val="9"/>
            <color indexed="81"/>
            <rFont val="Tahoma"/>
            <family val="2"/>
          </rPr>
          <t>Spiess, Jens (Research):</t>
        </r>
        <r>
          <rPr>
            <sz val="9"/>
            <color indexed="81"/>
            <rFont val="Tahoma"/>
            <family val="2"/>
          </rPr>
          <t xml:space="preserve">
According to annual report 2018</t>
        </r>
      </text>
    </comment>
    <comment ref="AI44" authorId="1" shapeId="0" xr:uid="{326B9205-6FCF-4FE6-89C8-9A09D8150EEA}">
      <text>
        <r>
          <rPr>
            <b/>
            <sz val="9"/>
            <color indexed="81"/>
            <rFont val="Tahoma"/>
            <family val="2"/>
          </rPr>
          <t>Spiess, Jens (Research):</t>
        </r>
        <r>
          <rPr>
            <sz val="9"/>
            <color indexed="81"/>
            <rFont val="Tahoma"/>
            <family val="2"/>
          </rPr>
          <t xml:space="preserve">
According to annual report 2018</t>
        </r>
      </text>
    </comment>
    <comment ref="AJ44" authorId="1" shapeId="0" xr:uid="{E4093D1F-488C-42CE-B2AF-B044E9637011}">
      <text>
        <r>
          <rPr>
            <b/>
            <sz val="9"/>
            <color indexed="81"/>
            <rFont val="Tahoma"/>
            <family val="2"/>
          </rPr>
          <t>Spiess, Jens (Research):</t>
        </r>
        <r>
          <rPr>
            <sz val="9"/>
            <color indexed="81"/>
            <rFont val="Tahoma"/>
            <family val="2"/>
          </rPr>
          <t xml:space="preserve">
According to annual report 2018</t>
        </r>
      </text>
    </comment>
    <comment ref="BX85" authorId="2" shapeId="0" xr:uid="{CB2B4D81-5683-4A51-A17B-2B30EE4D72E6}">
      <text>
        <r>
          <rPr>
            <b/>
            <sz val="9"/>
            <color indexed="81"/>
            <rFont val="Tahoma"/>
            <family val="2"/>
          </rPr>
          <t>camil:</t>
        </r>
        <r>
          <rPr>
            <sz val="9"/>
            <color indexed="81"/>
            <rFont val="Tahoma"/>
            <family val="2"/>
          </rPr>
          <t xml:space="preserve">
guidance de 25-27%</t>
        </r>
      </text>
    </comment>
    <comment ref="BY85" authorId="3" shapeId="0" xr:uid="{05FAD1B3-8019-44E1-9D25-48D27B3E06CD}">
      <text>
        <r>
          <rPr>
            <b/>
            <sz val="9"/>
            <color indexed="81"/>
            <rFont val="Tahoma"/>
            <family val="2"/>
          </rPr>
          <t>usuario:</t>
        </r>
        <r>
          <rPr>
            <sz val="9"/>
            <color indexed="81"/>
            <rFont val="Tahoma"/>
            <family val="2"/>
          </rPr>
          <t xml:space="preserve">
Guidance 25-27%</t>
        </r>
      </text>
    </comment>
    <comment ref="BZ85" authorId="3" shapeId="0" xr:uid="{7F2373A3-0FAA-4486-B7A4-3DF86A554440}">
      <text>
        <r>
          <rPr>
            <b/>
            <sz val="9"/>
            <color indexed="81"/>
            <rFont val="Tahoma"/>
            <family val="2"/>
          </rPr>
          <t>usuario:</t>
        </r>
        <r>
          <rPr>
            <sz val="9"/>
            <color indexed="81"/>
            <rFont val="Tahoma"/>
            <family val="2"/>
          </rPr>
          <t xml:space="preserve">
Guidance 25-27%</t>
        </r>
      </text>
    </comment>
    <comment ref="A95" authorId="0" shapeId="0" xr:uid="{30313F23-F6FF-40D3-9640-877F5C5ED846}">
      <text>
        <r>
          <rPr>
            <b/>
            <sz val="9"/>
            <color indexed="81"/>
            <rFont val="Tahoma"/>
            <family val="2"/>
          </rPr>
          <t>Sebastian Luparia:</t>
        </r>
        <r>
          <rPr>
            <sz val="9"/>
            <color indexed="81"/>
            <rFont val="Tahoma"/>
            <family val="2"/>
          </rPr>
          <t xml:space="preserve">
Away from home products.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jmauro</author>
    <author>tc={4E67C41F-F17B-46FF-88A5-F3AA1543B82D}</author>
    <author>tc={58804D35-85BE-4176-A08A-62297EFE65B0}</author>
  </authors>
  <commentList>
    <comment ref="A26" authorId="0" shapeId="0" xr:uid="{C269290F-FAB1-4346-8784-6A653BBC6EF6}">
      <text>
        <r>
          <rPr>
            <b/>
            <sz val="9"/>
            <color indexed="81"/>
            <rFont val="Tahoma"/>
            <family val="2"/>
          </rPr>
          <t>jmauro:</t>
        </r>
        <r>
          <rPr>
            <sz val="9"/>
            <color indexed="81"/>
            <rFont val="Tahoma"/>
            <family val="2"/>
          </rPr>
          <t xml:space="preserve">
Estadisticas de CABA
subrubro - Patio de comidas, alimentos y kioscos
https://www.estadisticaciudad.gob.ar/eyc/?p=24338
</t>
        </r>
      </text>
    </comment>
    <comment ref="A39" authorId="1" shapeId="0" xr:uid="{4E67C41F-F17B-46FF-88A5-F3AA1543B82D}">
      <text>
        <t>[Threaded comment]
Your version of Excel allows you to read this threaded comment; however, any edits to it will get removed if the file is opened in a newer version of Excel. Learn more: https://go.microsoft.com/fwlink/?linkid=870924
Comment:
    @Jorge Mauro esta te la dejo toda a vos</t>
      </text>
    </comment>
    <comment ref="BE48" authorId="2" shapeId="0" xr:uid="{58804D35-85BE-4176-A08A-62297EFE65B0}">
      <text>
        <t>[Threaded comment]
Your version of Excel allows you to read this threaded comment; however, any edits to it will get removed if the file is opened in a newer version of Excel. Learn more: https://go.microsoft.com/fwlink/?linkid=870924
Comment:
    SOFR</t>
      </text>
    </comment>
    <comment ref="A64" authorId="0" shapeId="0" xr:uid="{0CB34A9B-A7E4-4BCC-B03D-7E69A8962A78}">
      <text>
        <r>
          <rPr>
            <b/>
            <sz val="9"/>
            <color indexed="81"/>
            <rFont val="Tahoma"/>
            <family val="2"/>
          </rPr>
          <t>jmauro:</t>
        </r>
        <r>
          <rPr>
            <sz val="9"/>
            <color indexed="81"/>
            <rFont val="Tahoma"/>
            <family val="2"/>
          </rPr>
          <t xml:space="preserve">
Estadisticas de CABA
subrubro - Patio de comidas, alimentos y kioscos
https://www.estadisticaciudad.gob.ar/eyc/?p=24338
</t>
        </r>
      </text>
    </comment>
    <comment ref="A86" authorId="0" shapeId="0" xr:uid="{31BEC965-55B1-4521-BD35-AA13C4F4CE3E}">
      <text>
        <r>
          <rPr>
            <b/>
            <sz val="9"/>
            <color indexed="81"/>
            <rFont val="Tahoma"/>
            <family val="2"/>
          </rPr>
          <t>jmauro:</t>
        </r>
        <r>
          <rPr>
            <sz val="9"/>
            <color indexed="81"/>
            <rFont val="Tahoma"/>
            <family val="2"/>
          </rPr>
          <t xml:space="preserve">
Estadisticas de CABA
subrubro - Patio de comidas, alimentos y kioscos
https://www.estadisticaciudad.gob.ar/eyc/?p=24338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3"/>
        </ext>
      </extLst>
    </bk>
  </futureMetadata>
  <cellMetadata count="1">
    <bk>
      <rc t="1" v="0"/>
    </bk>
  </cellMetadata>
  <valueMetadata count="2">
    <bk>
      <rc t="2" v="0"/>
    </bk>
    <bk>
      <rc t="2" v="1"/>
    </bk>
  </valueMetadata>
</metadata>
</file>

<file path=xl/sharedStrings.xml><?xml version="1.0" encoding="utf-8"?>
<sst xmlns="http://schemas.openxmlformats.org/spreadsheetml/2006/main" count="793" uniqueCount="555">
  <si>
    <t>Mln MXN</t>
  </si>
  <si>
    <t>Net Revs</t>
  </si>
  <si>
    <t>yoy</t>
  </si>
  <si>
    <t>Gross Profit</t>
  </si>
  <si>
    <t>mrgn</t>
  </si>
  <si>
    <t>SG&amp;A</t>
  </si>
  <si>
    <t>EBIT</t>
  </si>
  <si>
    <t>Fin Res</t>
  </si>
  <si>
    <t>EBT</t>
  </si>
  <si>
    <t>tax</t>
  </si>
  <si>
    <t>rate</t>
  </si>
  <si>
    <t>Net Income</t>
  </si>
  <si>
    <t>EBITDA</t>
  </si>
  <si>
    <t>MULTIPLOS</t>
  </si>
  <si>
    <t>Mkt Cap</t>
  </si>
  <si>
    <t>Net Debt</t>
  </si>
  <si>
    <t>EV</t>
  </si>
  <si>
    <t>PE</t>
  </si>
  <si>
    <t>P/BV</t>
  </si>
  <si>
    <t>EV/EBITDA</t>
  </si>
  <si>
    <t>Div yield</t>
  </si>
  <si>
    <t>FCF Yield</t>
  </si>
  <si>
    <t>ROE</t>
  </si>
  <si>
    <t>ROIC</t>
  </si>
  <si>
    <t>FCFF</t>
  </si>
  <si>
    <t>Impostos</t>
  </si>
  <si>
    <t>NOPAT</t>
  </si>
  <si>
    <t>Depr</t>
  </si>
  <si>
    <t>Capex</t>
  </si>
  <si>
    <t>WC</t>
  </si>
  <si>
    <t>Imp dif</t>
  </si>
  <si>
    <t>perp</t>
  </si>
  <si>
    <t>Interest</t>
  </si>
  <si>
    <t>New Debt</t>
  </si>
  <si>
    <t>FCFE</t>
  </si>
  <si>
    <t>WACC</t>
  </si>
  <si>
    <t>Ke</t>
  </si>
  <si>
    <t>Kd</t>
  </si>
  <si>
    <t>Long Term Real Rates</t>
  </si>
  <si>
    <t>Inflation</t>
  </si>
  <si>
    <t>Nominal Interest Rates</t>
  </si>
  <si>
    <t>MRP</t>
  </si>
  <si>
    <t>Beta</t>
  </si>
  <si>
    <t>VP</t>
  </si>
  <si>
    <t>Div</t>
  </si>
  <si>
    <t>Mkt Capt</t>
  </si>
  <si>
    <t>Shares</t>
  </si>
  <si>
    <t>PT</t>
  </si>
  <si>
    <t>Upside</t>
  </si>
  <si>
    <t>MXN Millions</t>
  </si>
  <si>
    <t>Revenues</t>
  </si>
  <si>
    <t xml:space="preserve">  Chg YoY</t>
  </si>
  <si>
    <t xml:space="preserve"> COGS</t>
  </si>
  <si>
    <t xml:space="preserve">  Margin (%)</t>
  </si>
  <si>
    <t>General &amp; Admininstrative Expenses</t>
  </si>
  <si>
    <t xml:space="preserve">   Selling</t>
  </si>
  <si>
    <t xml:space="preserve">   Admin Exp</t>
  </si>
  <si>
    <t>Other Income</t>
  </si>
  <si>
    <t xml:space="preserve"> As % Revenues</t>
  </si>
  <si>
    <t>Operating Income</t>
  </si>
  <si>
    <t xml:space="preserve">  Op. Margin (%)</t>
  </si>
  <si>
    <t xml:space="preserve">  EBITDA Margin</t>
  </si>
  <si>
    <t xml:space="preserve">  Financial Income</t>
  </si>
  <si>
    <t xml:space="preserve">  Financial Expense</t>
  </si>
  <si>
    <t xml:space="preserve">  Equity Income</t>
  </si>
  <si>
    <t xml:space="preserve">  FX Gain/Loss</t>
  </si>
  <si>
    <t xml:space="preserve">  Other Income/Expense</t>
  </si>
  <si>
    <t>Pre Tax Income</t>
  </si>
  <si>
    <t xml:space="preserve">  Income Tax</t>
  </si>
  <si>
    <t xml:space="preserve">   Effective Tax Rate</t>
  </si>
  <si>
    <t xml:space="preserve">  Minorities</t>
  </si>
  <si>
    <t xml:space="preserve">  NI Margin</t>
  </si>
  <si>
    <t>Total Shares</t>
  </si>
  <si>
    <t>EPS</t>
  </si>
  <si>
    <t>DPS</t>
  </si>
  <si>
    <t>Revenue Growth</t>
  </si>
  <si>
    <t>EBITDA Growth</t>
  </si>
  <si>
    <t>EPS Growth</t>
  </si>
  <si>
    <t>ROE (%)</t>
  </si>
  <si>
    <t>ROA (%)</t>
  </si>
  <si>
    <t>ROIC (%)</t>
  </si>
  <si>
    <t>Net Debt/EBITDA</t>
  </si>
  <si>
    <t>BVPS</t>
  </si>
  <si>
    <t>Net Margin (%)</t>
  </si>
  <si>
    <t>Multiples</t>
  </si>
  <si>
    <t>Stock Price (MXN)</t>
  </si>
  <si>
    <t>Market Cap (MXN 'MM)</t>
  </si>
  <si>
    <t>Market Cap (us$ MM)</t>
  </si>
  <si>
    <t>P/E</t>
  </si>
  <si>
    <t>Dividend Yield</t>
  </si>
  <si>
    <t>EFCF Yield</t>
  </si>
  <si>
    <t>Balance Sheet</t>
  </si>
  <si>
    <t xml:space="preserve">  Cash &amp; equivalents</t>
  </si>
  <si>
    <t xml:space="preserve">  Trade receivables</t>
  </si>
  <si>
    <t xml:space="preserve">    % of Revenues</t>
  </si>
  <si>
    <t xml:space="preserve">   Inventories</t>
  </si>
  <si>
    <t xml:space="preserve">  Other</t>
  </si>
  <si>
    <t>Current Assets</t>
  </si>
  <si>
    <t xml:space="preserve">   Depreciation</t>
  </si>
  <si>
    <t xml:space="preserve">   As a % PP&amp;E</t>
  </si>
  <si>
    <t xml:space="preserve">  Net PP&amp;E</t>
  </si>
  <si>
    <t>Avg Life Assets</t>
  </si>
  <si>
    <t xml:space="preserve">  Equity Investments</t>
  </si>
  <si>
    <t xml:space="preserve">  Others</t>
  </si>
  <si>
    <t>Non Current Assets</t>
  </si>
  <si>
    <t>Total Assets</t>
  </si>
  <si>
    <t xml:space="preserve">  ST Debt</t>
  </si>
  <si>
    <t xml:space="preserve">  Trade Payable</t>
  </si>
  <si>
    <t xml:space="preserve">    % of Cash Costs</t>
  </si>
  <si>
    <t xml:space="preserve">  Other Current Liabilities</t>
  </si>
  <si>
    <t>Current Liabilities</t>
  </si>
  <si>
    <t xml:space="preserve">  LT Debt</t>
  </si>
  <si>
    <t xml:space="preserve">  Deferred Income Tax</t>
  </si>
  <si>
    <t xml:space="preserve">  Other LT liabilities</t>
  </si>
  <si>
    <t>Non Current Liabilities</t>
  </si>
  <si>
    <t>Minorities</t>
  </si>
  <si>
    <t>Shareholders Equity</t>
  </si>
  <si>
    <t>Total Liabilities</t>
  </si>
  <si>
    <t>Check</t>
  </si>
  <si>
    <t>WK</t>
  </si>
  <si>
    <t>COI</t>
  </si>
  <si>
    <t>Cash Flow</t>
  </si>
  <si>
    <t>Amortization</t>
  </si>
  <si>
    <t>Chg WK</t>
  </si>
  <si>
    <t>Others</t>
  </si>
  <si>
    <t>CF from Operations</t>
  </si>
  <si>
    <t>Acquisitions e Outras</t>
  </si>
  <si>
    <t>Capital Expenditure</t>
  </si>
  <si>
    <t>CF from Investing</t>
  </si>
  <si>
    <t>FCF</t>
  </si>
  <si>
    <t>Pay Out</t>
  </si>
  <si>
    <t>Share Buybacks/Capital Incr</t>
  </si>
  <si>
    <t xml:space="preserve">   Total Shs bought</t>
  </si>
  <si>
    <t xml:space="preserve">   Avg Price</t>
  </si>
  <si>
    <t>Dividends (Paid)</t>
  </si>
  <si>
    <t xml:space="preserve">   POR</t>
  </si>
  <si>
    <t xml:space="preserve">   yoy</t>
  </si>
  <si>
    <t xml:space="preserve">   Div/share</t>
  </si>
  <si>
    <t>Total Pay out</t>
  </si>
  <si>
    <t>% NI</t>
  </si>
  <si>
    <t>per share</t>
  </si>
  <si>
    <t>Yield</t>
  </si>
  <si>
    <t>Net Debt var</t>
  </si>
  <si>
    <t>CF from Financing</t>
  </si>
  <si>
    <t>Net Increase/Decrease</t>
  </si>
  <si>
    <t>Cash BOP</t>
  </si>
  <si>
    <t>Cash EOP</t>
  </si>
  <si>
    <t>Cash % Assets</t>
  </si>
  <si>
    <t xml:space="preserve"> Capex % Revenues</t>
  </si>
  <si>
    <t xml:space="preserve"> Capex/Dep</t>
  </si>
  <si>
    <t>Sales/Net Fixed Assets</t>
  </si>
  <si>
    <t>Dep/Sales</t>
  </si>
  <si>
    <t>Capex (US$)</t>
  </si>
  <si>
    <t>Debt</t>
  </si>
  <si>
    <t>ST Debt</t>
  </si>
  <si>
    <t>LT Debt</t>
  </si>
  <si>
    <t>Total Debt</t>
  </si>
  <si>
    <t>Cash</t>
  </si>
  <si>
    <t>Avg Int Rate - Debt</t>
  </si>
  <si>
    <t>Avg Int Rate - Cash</t>
  </si>
  <si>
    <t>RFR</t>
  </si>
  <si>
    <t>Spread Exp</t>
  </si>
  <si>
    <t>Spread Inc</t>
  </si>
  <si>
    <t>Dupont</t>
  </si>
  <si>
    <t>EBIT Margin</t>
  </si>
  <si>
    <t xml:space="preserve">    times: Asset Turnover</t>
  </si>
  <si>
    <t xml:space="preserve">    less: Interest Burden</t>
  </si>
  <si>
    <t>Pre-Tax Return on Assets</t>
  </si>
  <si>
    <t xml:space="preserve">    times: Leverage Ratio</t>
  </si>
  <si>
    <t>Pre-Tax Return on Equity</t>
  </si>
  <si>
    <t xml:space="preserve">    times: 1 - Income Tax Rate</t>
  </si>
  <si>
    <t>Return on Equity</t>
  </si>
  <si>
    <t xml:space="preserve">    times: Reinvestment Rate</t>
  </si>
  <si>
    <t>Internal Growth Rate</t>
  </si>
  <si>
    <t>Net In. Exp</t>
  </si>
  <si>
    <t>wk</t>
  </si>
  <si>
    <t>taxes</t>
  </si>
  <si>
    <t>capex</t>
  </si>
  <si>
    <t>EFCF</t>
  </si>
  <si>
    <t>Yld</t>
  </si>
  <si>
    <t>Economic Forecasts</t>
  </si>
  <si>
    <t>MXN - eop</t>
  </si>
  <si>
    <t xml:space="preserve"> Average</t>
  </si>
  <si>
    <t xml:space="preserve">  Chg QoQ</t>
  </si>
  <si>
    <t>Inflation YoY</t>
  </si>
  <si>
    <t>US Inflation</t>
  </si>
  <si>
    <t>Assumptions</t>
  </si>
  <si>
    <t>Revenues (MXN)</t>
  </si>
  <si>
    <t>Real Growth</t>
  </si>
  <si>
    <t>`</t>
  </si>
  <si>
    <t>Price YOY</t>
  </si>
  <si>
    <t>Volumes YOY</t>
  </si>
  <si>
    <t>Net effect</t>
  </si>
  <si>
    <t>% Revs</t>
  </si>
  <si>
    <t>COGS ex Dep</t>
  </si>
  <si>
    <t>COGS EST</t>
  </si>
  <si>
    <t>error</t>
  </si>
  <si>
    <t>ESTIMATED COGS Growth yoy</t>
  </si>
  <si>
    <t xml:space="preserve">    Fibers</t>
  </si>
  <si>
    <t xml:space="preserve">   Packagings &amp; others</t>
  </si>
  <si>
    <t xml:space="preserve">    Labour (MXN)</t>
  </si>
  <si>
    <t xml:space="preserve">    Energy (MXN)</t>
  </si>
  <si>
    <t xml:space="preserve">    Raw Materials (MXN)</t>
  </si>
  <si>
    <t>Cost Structure</t>
  </si>
  <si>
    <t>USD Denominated</t>
  </si>
  <si>
    <t>MXN Denominated</t>
  </si>
  <si>
    <t>Cogs/rev est por regresion</t>
  </si>
  <si>
    <t>EUR HW PULP Prices (us$/Tn)</t>
  </si>
  <si>
    <t xml:space="preserve">  Chg QOQ</t>
  </si>
  <si>
    <t>MXN/Tn (Lag 1 tri)</t>
  </si>
  <si>
    <t>WTI (us$/boe)</t>
  </si>
  <si>
    <t>WIT (MXN/boe)</t>
  </si>
  <si>
    <t>Cost Index MXN</t>
  </si>
  <si>
    <t>Cost Index USD</t>
  </si>
  <si>
    <t>GP Margin</t>
  </si>
  <si>
    <t>Oper. Income Mg.</t>
  </si>
  <si>
    <t>Depreciation</t>
  </si>
  <si>
    <t>Depreciation % Imob</t>
  </si>
  <si>
    <t>EBITDA Mg.</t>
  </si>
  <si>
    <t xml:space="preserve">60 basis points derive from IFRS 16. </t>
  </si>
  <si>
    <t>Consumidor</t>
  </si>
  <si>
    <t>Professional</t>
  </si>
  <si>
    <t>Exportacion</t>
  </si>
  <si>
    <t>Total</t>
  </si>
  <si>
    <t>Cost Breakdown</t>
  </si>
  <si>
    <t>Fibers - USD</t>
  </si>
  <si>
    <t>60 recyc aprox. 60% of recycled fiber is imported. Depende precio</t>
  </si>
  <si>
    <t>Fibers - MXN</t>
  </si>
  <si>
    <t>Packaging - USD</t>
  </si>
  <si>
    <t>resins, paints, chemicals, superaborventes</t>
  </si>
  <si>
    <t>Finishing prod. - USD</t>
  </si>
  <si>
    <t>Finishing prod. - MXN</t>
  </si>
  <si>
    <t>Energy - MXN/USD</t>
  </si>
  <si>
    <t>Labour - MXN</t>
  </si>
  <si>
    <t>Dep</t>
  </si>
  <si>
    <t>TOTAL</t>
  </si>
  <si>
    <t>USD</t>
  </si>
  <si>
    <t>MXN</t>
  </si>
  <si>
    <t>dolar linked</t>
  </si>
  <si>
    <t>fiber</t>
  </si>
  <si>
    <t>Oil</t>
  </si>
  <si>
    <t>labour/others local</t>
  </si>
  <si>
    <t>y=0.0904x+0.5892</t>
  </si>
  <si>
    <t>ASP</t>
  </si>
  <si>
    <t>CHINA</t>
  </si>
  <si>
    <t>EUROPA</t>
  </si>
  <si>
    <t>OIL/PET</t>
  </si>
  <si>
    <t>Average</t>
  </si>
  <si>
    <t>HW</t>
  </si>
  <si>
    <t>SW</t>
  </si>
  <si>
    <t>China-EU</t>
  </si>
  <si>
    <t>CHN SW-HW</t>
  </si>
  <si>
    <t>EUR SW-HW</t>
  </si>
  <si>
    <t>4Q24 EST</t>
  </si>
  <si>
    <t>Actual</t>
  </si>
  <si>
    <t>Fundamenta</t>
  </si>
  <si>
    <t>Cons</t>
  </si>
  <si>
    <t>Citi</t>
  </si>
  <si>
    <t>MS</t>
  </si>
  <si>
    <t>Itau</t>
  </si>
  <si>
    <t>Bofa</t>
  </si>
  <si>
    <t>yoy growth</t>
  </si>
  <si>
    <t>price</t>
  </si>
  <si>
    <t>volume</t>
  </si>
  <si>
    <t>NI</t>
  </si>
  <si>
    <t>Avg Vol 30D</t>
  </si>
  <si>
    <t>% Change</t>
  </si>
  <si>
    <t>52W</t>
  </si>
  <si>
    <t>Last Rep.</t>
  </si>
  <si>
    <t>Next Rep.</t>
  </si>
  <si>
    <t>Name</t>
  </si>
  <si>
    <t>Ticker</t>
  </si>
  <si>
    <t>Ctry</t>
  </si>
  <si>
    <t>Sector</t>
  </si>
  <si>
    <t>Last</t>
  </si>
  <si>
    <t>US$mm</t>
  </si>
  <si>
    <t># shs</t>
  </si>
  <si>
    <t>1d</t>
  </si>
  <si>
    <t>5d</t>
  </si>
  <si>
    <t>1M</t>
  </si>
  <si>
    <t>3M</t>
  </si>
  <si>
    <t>YTD</t>
  </si>
  <si>
    <t>YOY</t>
  </si>
  <si>
    <t>Low</t>
  </si>
  <si>
    <t>High</t>
  </si>
  <si>
    <t>P/Sales</t>
  </si>
  <si>
    <t>Date</t>
  </si>
  <si>
    <t>RB/ LN</t>
  </si>
  <si>
    <t>HUVr</t>
  </si>
  <si>
    <t>8113 JP</t>
  </si>
  <si>
    <t>EL US</t>
  </si>
  <si>
    <t>bei gy</t>
  </si>
  <si>
    <t>CLX US</t>
  </si>
  <si>
    <t>UNVR IJ</t>
  </si>
  <si>
    <t>CHD US</t>
  </si>
  <si>
    <t>CL US</t>
  </si>
  <si>
    <t>PG US</t>
  </si>
  <si>
    <t>KMB US</t>
  </si>
  <si>
    <t>REYN</t>
  </si>
  <si>
    <t>ESSITYA SS</t>
  </si>
  <si>
    <t>HEN3 GR</t>
  </si>
  <si>
    <t>epc</t>
  </si>
  <si>
    <t>KIMBERA MM</t>
  </si>
  <si>
    <t>3331 hK</t>
  </si>
  <si>
    <t>ontex bb</t>
  </si>
  <si>
    <t>CMPC CI</t>
  </si>
  <si>
    <t>RB/ LN Equity</t>
  </si>
  <si>
    <t>RECKITT BENCKISE</t>
  </si>
  <si>
    <t>GB</t>
  </si>
  <si>
    <t>Consumer Staples</t>
  </si>
  <si>
    <t>#N/A N/A</t>
  </si>
  <si>
    <t>#N/A Field Not Applicable</t>
  </si>
  <si>
    <t>2/28/2024</t>
  </si>
  <si>
    <t>7/24/2024</t>
  </si>
  <si>
    <t>HUVr Equity</t>
  </si>
  <si>
    <t>HINDUSTAN UNILEV</t>
  </si>
  <si>
    <t>IN</t>
  </si>
  <si>
    <t>1/19/2024</t>
  </si>
  <si>
    <t>4/24/2024</t>
  </si>
  <si>
    <t>8113 JP Equity</t>
  </si>
  <si>
    <t>UNICHARM CORP</t>
  </si>
  <si>
    <t>JN</t>
  </si>
  <si>
    <t>2/7/2024</t>
  </si>
  <si>
    <t>5/7/2024</t>
  </si>
  <si>
    <t>EL US Equity</t>
  </si>
  <si>
    <t>ESTEE LAUDER</t>
  </si>
  <si>
    <t>US</t>
  </si>
  <si>
    <t>2/5/2024</t>
  </si>
  <si>
    <t>5/1/2024</t>
  </si>
  <si>
    <t>bei gy Equity</t>
  </si>
  <si>
    <t>BEIERSDORF AG</t>
  </si>
  <si>
    <t>GE</t>
  </si>
  <si>
    <t>2/29/2024</t>
  </si>
  <si>
    <t>8/7/2024</t>
  </si>
  <si>
    <t>CLX US Equity</t>
  </si>
  <si>
    <t>CLOROX CO</t>
  </si>
  <si>
    <t>2/1/2024</t>
  </si>
  <si>
    <t>4/30/2024</t>
  </si>
  <si>
    <t>UNVR IJ Equity</t>
  </si>
  <si>
    <t>UNILEVER IND TBK</t>
  </si>
  <si>
    <t>ID</t>
  </si>
  <si>
    <t>4/19/2024</t>
  </si>
  <si>
    <t>CHD US Equity</t>
  </si>
  <si>
    <t>CHURCH &amp; DWIGHT</t>
  </si>
  <si>
    <t>2/2/2024</t>
  </si>
  <si>
    <t>5/2/2024</t>
  </si>
  <si>
    <t>CL US Equity</t>
  </si>
  <si>
    <t>COLGATE-PALMOLIV</t>
  </si>
  <si>
    <t>1/26/2024</t>
  </si>
  <si>
    <t>4/26/2024</t>
  </si>
  <si>
    <t>PG US Equity</t>
  </si>
  <si>
    <t>PROCTER &amp; GAMBLE</t>
  </si>
  <si>
    <t>1/23/2024</t>
  </si>
  <si>
    <t>KMB US Equity</t>
  </si>
  <si>
    <t>KIMBERLY-CLARK</t>
  </si>
  <si>
    <t>1/24/2024</t>
  </si>
  <si>
    <t>4/23/2024</t>
  </si>
  <si>
    <t>REYN Equity</t>
  </si>
  <si>
    <t>REYNOLDS CONSUME</t>
  </si>
  <si>
    <t>5/10/2024</t>
  </si>
  <si>
    <t>ESSITYA SS Equity</t>
  </si>
  <si>
    <t>ESSITY AKTIEBO-A</t>
  </si>
  <si>
    <t>1/25/2024</t>
  </si>
  <si>
    <t>4/25/2024</t>
  </si>
  <si>
    <t>HEN3 GR Equity</t>
  </si>
  <si>
    <t>HENKEL AG -PREF</t>
  </si>
  <si>
    <t>3/4/2024</t>
  </si>
  <si>
    <t>5/8/2024</t>
  </si>
  <si>
    <t>epc Equity</t>
  </si>
  <si>
    <t>EDGEWELL PERSONA</t>
  </si>
  <si>
    <t>KIMBERA MM Equity</t>
  </si>
  <si>
    <t>KIMBERLY-CLA M-A</t>
  </si>
  <si>
    <t>MX</t>
  </si>
  <si>
    <t>1/18/2024</t>
  </si>
  <si>
    <t>4/18/2024</t>
  </si>
  <si>
    <t>3331 hK Equity</t>
  </si>
  <si>
    <t>VINDA INTL HLDGS</t>
  </si>
  <si>
    <t>HK</t>
  </si>
  <si>
    <t>ontex bb Equity</t>
  </si>
  <si>
    <t>ONTEX GROUP</t>
  </si>
  <si>
    <t>BE</t>
  </si>
  <si>
    <t>2/8/2024</t>
  </si>
  <si>
    <t>5/3/2024</t>
  </si>
  <si>
    <t>CMPC CI Equity</t>
  </si>
  <si>
    <t>CMPC</t>
  </si>
  <si>
    <t>CL</t>
  </si>
  <si>
    <t>Materials</t>
  </si>
  <si>
    <t>5/9/2024</t>
  </si>
  <si>
    <t>QUARTERLY REPORTS | Kimberly - Clark de México</t>
  </si>
  <si>
    <t>kimbera mm equity</t>
  </si>
  <si>
    <t>Mexbol Index</t>
  </si>
  <si>
    <t>COGS: 66% us$ linked</t>
  </si>
  <si>
    <t>PX_LAST</t>
  </si>
  <si>
    <t>Average Price</t>
  </si>
  <si>
    <t>Float? 52%</t>
  </si>
  <si>
    <t>Cgonzalez 8%</t>
  </si>
  <si>
    <t>preguntas 4Q</t>
  </si>
  <si>
    <t>numero de acciones recompradas. PR vs BMV (pag 22).</t>
  </si>
  <si>
    <t>IR contact</t>
  </si>
  <si>
    <t>why lower tax rate?</t>
  </si>
  <si>
    <t>Azul Argueles</t>
  </si>
  <si>
    <t>capex?</t>
  </si>
  <si>
    <t>(5255) 5282-7204</t>
  </si>
  <si>
    <t>azul.arguelles@kcc.com</t>
  </si>
  <si>
    <t>Fabian Zambrano</t>
  </si>
  <si>
    <t xml:space="preserve">no van a hacer recompra de acciones en 2018. </t>
  </si>
  <si>
    <t>fabianrene.zambrano@kcc.com</t>
  </si>
  <si>
    <t>dividendos igual</t>
  </si>
  <si>
    <t>Sec: Cristina</t>
  </si>
  <si>
    <t>(5255) 5282-7300 ext 1720</t>
  </si>
  <si>
    <t>Salvador escoto (IR)</t>
  </si>
  <si>
    <t>salvador.escoto@kcc.com</t>
  </si>
  <si>
    <t>hector.pliego@kcc.com</t>
  </si>
  <si>
    <t>Local Currency</t>
  </si>
  <si>
    <t>CPN</t>
  </si>
  <si>
    <t>CRNCY</t>
  </si>
  <si>
    <t>ISSUE_DT</t>
  </si>
  <si>
    <t>MATURITY</t>
  </si>
  <si>
    <t>AMT_OUTSTANDING</t>
  </si>
  <si>
    <t>Ask Yield</t>
  </si>
  <si>
    <t>EI468010 Corp</t>
  </si>
  <si>
    <t>EJ862499 Corp</t>
  </si>
  <si>
    <t>EK164973 Corp</t>
  </si>
  <si>
    <t>EK791553 Corp</t>
  </si>
  <si>
    <t>BK233887 Corp</t>
  </si>
  <si>
    <t>Total MXN</t>
  </si>
  <si>
    <t>Total us$</t>
  </si>
  <si>
    <t>Emisions</t>
  </si>
  <si>
    <t>t CO2 eq/ton  produced</t>
  </si>
  <si>
    <t>Produccion</t>
  </si>
  <si>
    <t>CHECk PROD</t>
  </si>
  <si>
    <t>t Co2 emitidas</t>
  </si>
  <si>
    <t>Rev MXN MM</t>
  </si>
  <si>
    <t>Avg MXN</t>
  </si>
  <si>
    <t>Rev us$ MM</t>
  </si>
  <si>
    <t>CO2/Rev $</t>
  </si>
  <si>
    <t>Energy Intensity</t>
  </si>
  <si>
    <t>MWh/ton</t>
  </si>
  <si>
    <t>MWh total</t>
  </si>
  <si>
    <t>MWh/Rev $</t>
  </si>
  <si>
    <t>Indice de precios gral</t>
  </si>
  <si>
    <t>Indice Mercancias</t>
  </si>
  <si>
    <t>Alimenticias</t>
  </si>
  <si>
    <t>No Alimenticias</t>
  </si>
  <si>
    <t>yoy mensual/trimestral</t>
  </si>
  <si>
    <t>Interanual</t>
  </si>
  <si>
    <t>Base 100 2016</t>
  </si>
  <si>
    <t>Pricing Kimberly</t>
  </si>
  <si>
    <t>FX Medio</t>
  </si>
  <si>
    <t>CLP Medio</t>
  </si>
  <si>
    <t>PEN Medio</t>
  </si>
  <si>
    <t>COP Medio</t>
  </si>
  <si>
    <t>ARS Medio</t>
  </si>
  <si>
    <t>BRL Medio</t>
  </si>
  <si>
    <t>PYG Medio</t>
  </si>
  <si>
    <t>MXN Medio</t>
  </si>
  <si>
    <t>UYU Medio</t>
  </si>
  <si>
    <t>EUR Medio</t>
  </si>
  <si>
    <t>CPI QoQ</t>
  </si>
  <si>
    <t>USA</t>
  </si>
  <si>
    <t>Chile</t>
  </si>
  <si>
    <t>Peru</t>
  </si>
  <si>
    <t>Colombia</t>
  </si>
  <si>
    <t>Argentina</t>
  </si>
  <si>
    <t>ver ARS</t>
  </si>
  <si>
    <t>Brasil</t>
  </si>
  <si>
    <t>Paraguay</t>
  </si>
  <si>
    <t>Mexico</t>
  </si>
  <si>
    <t>Uruguay</t>
  </si>
  <si>
    <t>Spain</t>
  </si>
  <si>
    <t>Costa Rica</t>
  </si>
  <si>
    <t>El Salvador</t>
  </si>
  <si>
    <t>Guatemala</t>
  </si>
  <si>
    <t>Honduras</t>
  </si>
  <si>
    <t>Nicaragua</t>
  </si>
  <si>
    <t>CHUF</t>
  </si>
  <si>
    <t>FX EoP</t>
  </si>
  <si>
    <t>CLP Curncy</t>
  </si>
  <si>
    <t>PEN Curncy</t>
  </si>
  <si>
    <t>COP Curncy</t>
  </si>
  <si>
    <t>ARS Curncy</t>
  </si>
  <si>
    <t>BRL Curncy</t>
  </si>
  <si>
    <t>PYG Curncy</t>
  </si>
  <si>
    <t>MXN Curncy</t>
  </si>
  <si>
    <t>UYU Curncy</t>
  </si>
  <si>
    <t>EUR Curncy</t>
  </si>
  <si>
    <t>Tasa de interes</t>
  </si>
  <si>
    <t>TJLP final</t>
  </si>
  <si>
    <t>SOFR/LIBOR 3m Avg</t>
  </si>
  <si>
    <t>Taxa de Juros (Chile) - final</t>
  </si>
  <si>
    <t>Taxa de Juros (Chile) - avg</t>
  </si>
  <si>
    <t>TIIE 28d Final</t>
  </si>
  <si>
    <t>BZSELICA Index Avg</t>
  </si>
  <si>
    <t>CPI Index</t>
  </si>
  <si>
    <t>Inflacion YoY</t>
  </si>
  <si>
    <t>Latest available information</t>
  </si>
  <si>
    <t xml:space="preserve">Environmental Indicators </t>
  </si>
  <si>
    <t>LatAm average</t>
  </si>
  <si>
    <t>GHG emission intensity*</t>
  </si>
  <si>
    <t>,000 USD</t>
  </si>
  <si>
    <t>Energy intensity*</t>
  </si>
  <si>
    <t xml:space="preserve">CO2 reduction policy </t>
  </si>
  <si>
    <t xml:space="preserve">Yes </t>
  </si>
  <si>
    <t>CO2 consumption</t>
  </si>
  <si>
    <t>tons</t>
  </si>
  <si>
    <t>GHG ratio</t>
  </si>
  <si>
    <t>kg/,000 USD (or mt/USDm)</t>
  </si>
  <si>
    <t xml:space="preserve">Social Indicators </t>
  </si>
  <si>
    <t>Employee turnover (%)</t>
  </si>
  <si>
    <t>NA</t>
  </si>
  <si>
    <t>Energy consumption</t>
  </si>
  <si>
    <t>GJ</t>
  </si>
  <si>
    <t xml:space="preserve">Diversity policy </t>
  </si>
  <si>
    <t>Yes</t>
  </si>
  <si>
    <t>en kWh</t>
  </si>
  <si>
    <t>kWh</t>
  </si>
  <si>
    <t>Women in labor force %</t>
  </si>
  <si>
    <t>Ratio</t>
  </si>
  <si>
    <t>kWh/,000 USD (or MWh/USDm)</t>
  </si>
  <si>
    <t>Work accidents</t>
  </si>
  <si>
    <t>% Energia Fuente Renovable</t>
  </si>
  <si>
    <t>}</t>
  </si>
  <si>
    <t>Governance Indicators</t>
  </si>
  <si>
    <t>No. of board members</t>
  </si>
  <si>
    <t>1GJ =</t>
  </si>
  <si>
    <t>kwh</t>
  </si>
  <si>
    <t xml:space="preserve">Female board members (%) </t>
  </si>
  <si>
    <t xml:space="preserve">Board members independence (%) </t>
  </si>
  <si>
    <t>Fully independent audit committee</t>
  </si>
  <si>
    <t>N</t>
  </si>
  <si>
    <t>Fully independent compensation committee</t>
  </si>
  <si>
    <t>Single share class</t>
  </si>
  <si>
    <t>Y</t>
  </si>
  <si>
    <t>Total empleados</t>
  </si>
  <si>
    <t>100% tag along rights</t>
  </si>
  <si>
    <t>Horas promedio semanales</t>
  </si>
  <si>
    <t>Governance incident in last X years</t>
  </si>
  <si>
    <t>Total horas al año</t>
  </si>
  <si>
    <t>Accidentes (TRIS)</t>
  </si>
  <si>
    <t>Source: Company data</t>
  </si>
  <si>
    <t>* GHG intensity and energy intensity are measured in kg and kWh respectively against revenue in USD ‘000s</t>
  </si>
  <si>
    <t>SASB Materiality Map SASB uses the Sustainability Industry Classification System (SICS) to classify companies into sectors (top row) and identify the sustainability issues (leftmost column) that are material in each sector. Cells highlighted in dark gray signal strong materiality, while lighter gray indicates some degree of materiality. For our analysis, we translated SICS to GICS and reclassified the sustainability issues into one of the ESG pillars. The interactive map with details at the industry level is available at http://materiality.sasb.org/.</t>
  </si>
  <si>
    <t>http://materiality.sasb.org/</t>
  </si>
  <si>
    <t>Work Accidents - Millones de horas trabajadas EST</t>
  </si>
  <si>
    <t>2026 / 2022</t>
  </si>
  <si>
    <t>2026 / 2012</t>
  </si>
  <si>
    <t>ARS</t>
  </si>
  <si>
    <t>CPI</t>
  </si>
  <si>
    <t>CLP</t>
  </si>
  <si>
    <t>IPC</t>
  </si>
  <si>
    <t>cfk 2</t>
  </si>
  <si>
    <t>mm</t>
  </si>
  <si>
    <t>af</t>
  </si>
  <si>
    <t>jm</t>
  </si>
  <si>
    <t>mi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</si>
</sst>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_(* #,##0.00_);_(* \(#,##0.00\);_(* &quot;-&quot;??_);_(@_)"/>
    <numFmt numFmtId="165" formatCode="0.0"/>
    <numFmt numFmtId="166" formatCode="#,##0.0"/>
    <numFmt numFmtId="167" formatCode="0.0%"/>
    <numFmt numFmtId="168" formatCode="_(* #,##0_);_(* \(#,##0\);_(* &quot;-&quot;??_);_(@_)"/>
    <numFmt numFmtId="169" formatCode="_-* #,##0_-;\-* #,##0_-;_-* &quot;-&quot;??_-;_-@_-"/>
    <numFmt numFmtId="170" formatCode="0.00\x"/>
    <numFmt numFmtId="171" formatCode="0.0\x"/>
    <numFmt numFmtId="172" formatCode="[$-409]d\-mmm\-yy;@"/>
    <numFmt numFmtId="173" formatCode="0_);\(0\)"/>
    <numFmt numFmtId="174" formatCode="#,##0.0_);\(#,##0.0\)"/>
    <numFmt numFmtId="175" formatCode="mm/dd/yy;@"/>
    <numFmt numFmtId="176" formatCode="[$-409]mmm\-yy;@"/>
    <numFmt numFmtId="177" formatCode="0.00000"/>
    <numFmt numFmtId="178" formatCode="_-[$$-80A]* #,##0.00_-;\-[$$-80A]* #,##0.00_-;_-[$$-80A]* &quot;-&quot;??_-;_-@_-"/>
    <numFmt numFmtId="179" formatCode="###,###,###,###,##0.000000000000"/>
    <numFmt numFmtId="180" formatCode="###,###,###,###,##0.00"/>
    <numFmt numFmtId="181" formatCode="###,###,###,###,##0.0"/>
    <numFmt numFmtId="182" formatCode="_-* #,##0.0_-;\-* #,##0.0_-;_-* &quot;-&quot;??_-;_-@_-"/>
    <numFmt numFmtId="183" formatCode="_(* #,##0.0_);_(* \(#,##0.0\);_(* &quot;-&quot;??_);_(@_)"/>
    <numFmt numFmtId="184" formatCode="0.000"/>
  </numFmts>
  <fonts count="88">
    <font>
      <sz val="11"/>
      <color theme="1"/>
      <name val="Calibri"/>
      <family val="2"/>
      <scheme val="minor"/>
    </font>
    <font>
      <sz val="11"/>
      <color theme="1"/>
      <name val="Calibri"/>
      <family val="2"/>
      <scheme val="minor"/>
    </font>
    <font>
      <sz val="8"/>
      <name val="Century Gothic"/>
      <family val="2"/>
    </font>
    <font>
      <sz val="8"/>
      <color theme="1"/>
      <name val="Century Gothic"/>
      <family val="2"/>
    </font>
    <font>
      <b/>
      <sz val="8"/>
      <name val="Century Gothic"/>
      <family val="2"/>
    </font>
    <font>
      <sz val="8"/>
      <color rgb="FF0000FF"/>
      <name val="Century Gothic"/>
      <family val="2"/>
    </font>
    <font>
      <sz val="10"/>
      <name val="Arial"/>
      <family val="2"/>
    </font>
    <font>
      <b/>
      <sz val="8"/>
      <color theme="1"/>
      <name val="Century Gothic"/>
      <family val="2"/>
    </font>
    <font>
      <sz val="8"/>
      <color theme="4"/>
      <name val="Century Gothic"/>
      <family val="2"/>
    </font>
    <font>
      <b/>
      <sz val="8"/>
      <color theme="4"/>
      <name val="Century Gothic"/>
      <family val="2"/>
    </font>
    <font>
      <b/>
      <sz val="9"/>
      <color indexed="81"/>
      <name val="Tahoma"/>
      <family val="2"/>
    </font>
    <font>
      <sz val="9"/>
      <color indexed="81"/>
      <name val="Tahoma"/>
      <family val="2"/>
    </font>
    <font>
      <b/>
      <sz val="8"/>
      <name val="Arial"/>
      <family val="2"/>
    </font>
    <font>
      <sz val="11"/>
      <color rgb="FFFF0000"/>
      <name val="Calibri"/>
      <family val="2"/>
      <scheme val="minor"/>
    </font>
    <font>
      <u/>
      <sz val="11"/>
      <color theme="10"/>
      <name val="Calibri"/>
      <family val="2"/>
      <scheme val="minor"/>
    </font>
    <font>
      <b/>
      <sz val="11"/>
      <color theme="1"/>
      <name val="Calibri"/>
      <family val="2"/>
      <scheme val="minor"/>
    </font>
    <font>
      <sz val="8"/>
      <color theme="1"/>
      <name val="Arial"/>
      <family val="2"/>
    </font>
    <font>
      <sz val="8"/>
      <name val="Arial"/>
      <family val="2"/>
    </font>
    <font>
      <sz val="8"/>
      <color rgb="FF0000FF"/>
      <name val="Arial"/>
      <family val="2"/>
    </font>
    <font>
      <b/>
      <sz val="8"/>
      <color rgb="FF0000FF"/>
      <name val="Arial"/>
      <family val="2"/>
    </font>
    <font>
      <sz val="8"/>
      <color rgb="FFFF0000"/>
      <name val="Arial"/>
      <family val="2"/>
    </font>
    <font>
      <b/>
      <sz val="8"/>
      <color rgb="FFFF0000"/>
      <name val="Arial"/>
      <family val="2"/>
    </font>
    <font>
      <sz val="8"/>
      <color rgb="FF00B050"/>
      <name val="Arial"/>
      <family val="2"/>
    </font>
    <font>
      <sz val="10"/>
      <color theme="1"/>
      <name val="Arial"/>
      <family val="2"/>
    </font>
    <font>
      <sz val="11"/>
      <color theme="4"/>
      <name val="Calibri"/>
      <family val="2"/>
      <scheme val="minor"/>
    </font>
    <font>
      <b/>
      <sz val="10"/>
      <color theme="1"/>
      <name val="Arial"/>
      <family val="2"/>
    </font>
    <font>
      <sz val="11"/>
      <color rgb="FF0000FF"/>
      <name val="Calibri"/>
      <family val="2"/>
      <scheme val="minor"/>
    </font>
    <font>
      <sz val="8"/>
      <color rgb="FFFF0000"/>
      <name val="Century Gothic"/>
      <family val="2"/>
    </font>
    <font>
      <sz val="11"/>
      <name val="Calibri"/>
      <family val="2"/>
      <scheme val="minor"/>
    </font>
    <font>
      <b/>
      <sz val="10"/>
      <name val="Calibri"/>
      <family val="2"/>
      <scheme val="minor"/>
    </font>
    <font>
      <sz val="8"/>
      <name val="Calibri"/>
      <family val="2"/>
      <scheme val="minor"/>
    </font>
    <font>
      <b/>
      <sz val="9"/>
      <name val="Calibri"/>
      <family val="2"/>
      <scheme val="minor"/>
    </font>
    <font>
      <sz val="9"/>
      <name val="Calibri"/>
      <family val="2"/>
      <scheme val="minor"/>
    </font>
    <font>
      <sz val="9"/>
      <color rgb="FF0000FF"/>
      <name val="Calibri"/>
      <family val="2"/>
      <scheme val="minor"/>
    </font>
    <font>
      <sz val="9"/>
      <color theme="1"/>
      <name val="Calibri"/>
      <family val="2"/>
      <scheme val="minor"/>
    </font>
    <font>
      <b/>
      <sz val="9"/>
      <color theme="4"/>
      <name val="Calibri"/>
      <family val="2"/>
      <scheme val="minor"/>
    </font>
    <font>
      <b/>
      <sz val="9"/>
      <color theme="1"/>
      <name val="Calibri"/>
      <family val="2"/>
      <scheme val="minor"/>
    </font>
    <font>
      <sz val="9"/>
      <color rgb="FFFF0000"/>
      <name val="Calibri"/>
      <family val="2"/>
      <scheme val="minor"/>
    </font>
    <font>
      <b/>
      <sz val="8"/>
      <name val="Calibri "/>
    </font>
    <font>
      <sz val="8"/>
      <color theme="4"/>
      <name val="Calibri "/>
    </font>
    <font>
      <sz val="8"/>
      <name val="Calibri "/>
    </font>
    <font>
      <sz val="8"/>
      <color theme="1"/>
      <name val="Calibri "/>
    </font>
    <font>
      <sz val="8"/>
      <color rgb="FFC00000"/>
      <name val="Calibri "/>
    </font>
    <font>
      <sz val="8"/>
      <color indexed="12"/>
      <name val="Calibri "/>
    </font>
    <font>
      <b/>
      <sz val="8"/>
      <color theme="1"/>
      <name val="Calibri "/>
    </font>
    <font>
      <b/>
      <sz val="8"/>
      <color rgb="FF0000FF"/>
      <name val="Calibri "/>
    </font>
    <font>
      <sz val="8"/>
      <color rgb="FF0000FF"/>
      <name val="Calibri "/>
    </font>
    <font>
      <sz val="8"/>
      <color indexed="10"/>
      <name val="Calibri "/>
    </font>
    <font>
      <b/>
      <sz val="8"/>
      <color theme="4"/>
      <name val="Calibri "/>
    </font>
    <font>
      <b/>
      <sz val="8"/>
      <color rgb="FF0070C0"/>
      <name val="Calibri "/>
    </font>
    <font>
      <b/>
      <sz val="8"/>
      <color indexed="12"/>
      <name val="Calibri "/>
    </font>
    <font>
      <sz val="8"/>
      <color indexed="16"/>
      <name val="Calibri "/>
    </font>
    <font>
      <b/>
      <sz val="8"/>
      <color rgb="FFFF0000"/>
      <name val="Calibri "/>
    </font>
    <font>
      <sz val="8"/>
      <color rgb="FFFF0000"/>
      <name val="Calibri "/>
    </font>
    <font>
      <sz val="8"/>
      <color theme="9" tint="-0.249977111117893"/>
      <name val="Calibri "/>
    </font>
    <font>
      <sz val="10"/>
      <color theme="1"/>
      <name val="Calibri"/>
      <family val="2"/>
      <scheme val="minor"/>
    </font>
    <font>
      <b/>
      <sz val="10"/>
      <color indexed="9"/>
      <name val="Calibri"/>
      <family val="2"/>
      <scheme val="minor"/>
    </font>
    <font>
      <i/>
      <sz val="10"/>
      <color theme="1"/>
      <name val="Calibri"/>
      <family val="2"/>
      <scheme val="minor"/>
    </font>
    <font>
      <b/>
      <sz val="10"/>
      <color theme="1"/>
      <name val="Calibri"/>
      <family val="2"/>
      <scheme val="minor"/>
    </font>
    <font>
      <sz val="8"/>
      <color theme="9" tint="-0.499984740745262"/>
      <name val="Calibri "/>
    </font>
    <font>
      <i/>
      <sz val="8"/>
      <color rgb="FF7030A0"/>
      <name val="Calibri "/>
    </font>
    <font>
      <sz val="9"/>
      <color theme="9" tint="-0.499984740745262"/>
      <name val="Calibri"/>
      <family val="2"/>
      <scheme val="minor"/>
    </font>
    <font>
      <b/>
      <sz val="8"/>
      <color theme="9" tint="-0.249977111117893"/>
      <name val="Calibri "/>
    </font>
    <font>
      <b/>
      <sz val="8"/>
      <color rgb="FF7030A0"/>
      <name val="Calibri "/>
    </font>
    <font>
      <sz val="8"/>
      <color rgb="FF7030A0"/>
      <name val="Calibri "/>
    </font>
    <font>
      <b/>
      <sz val="8"/>
      <color theme="1"/>
      <name val="Calibri"/>
      <family val="2"/>
      <scheme val="minor"/>
    </font>
    <font>
      <sz val="8"/>
      <color theme="1"/>
      <name val="Calibri"/>
      <family val="2"/>
      <scheme val="minor"/>
    </font>
    <font>
      <sz val="11"/>
      <color theme="8" tint="-0.249977111117893"/>
      <name val="Calibri"/>
      <family val="2"/>
      <scheme val="minor"/>
    </font>
    <font>
      <sz val="8"/>
      <color rgb="FF000000"/>
      <name val="Century Gothic"/>
      <family val="2"/>
    </font>
    <font>
      <sz val="8"/>
      <color rgb="FF000000"/>
      <name val="Arial"/>
      <family val="2"/>
    </font>
    <font>
      <sz val="8"/>
      <color rgb="FF000000"/>
      <name val="Calibri "/>
    </font>
    <font>
      <sz val="10"/>
      <name val="Calibri"/>
      <family val="2"/>
      <scheme val="minor"/>
    </font>
    <font>
      <sz val="10"/>
      <color indexed="12"/>
      <name val="Calibri"/>
      <family val="2"/>
      <scheme val="minor"/>
    </font>
    <font>
      <sz val="10"/>
      <color rgb="FF0000FF"/>
      <name val="Calibri"/>
      <family val="2"/>
      <scheme val="minor"/>
    </font>
    <font>
      <b/>
      <sz val="10"/>
      <color theme="9" tint="-0.499984740745262"/>
      <name val="Calibri"/>
      <family val="2"/>
      <scheme val="minor"/>
    </font>
    <font>
      <sz val="10"/>
      <color theme="9" tint="-0.499984740745262"/>
      <name val="Calibri"/>
      <family val="2"/>
      <scheme val="minor"/>
    </font>
    <font>
      <sz val="10"/>
      <color rgb="FFFF0000"/>
      <name val="Calibri"/>
      <family val="2"/>
      <scheme val="minor"/>
    </font>
    <font>
      <b/>
      <sz val="10"/>
      <color rgb="FFFF0000"/>
      <name val="Calibri"/>
      <family val="2"/>
      <scheme val="minor"/>
    </font>
    <font>
      <sz val="10"/>
      <color rgb="FF7030A0"/>
      <name val="Calibri"/>
      <family val="2"/>
      <scheme val="minor"/>
    </font>
    <font>
      <b/>
      <sz val="10"/>
      <color rgb="FF7030A0"/>
      <name val="Calibri"/>
      <family val="2"/>
      <scheme val="minor"/>
    </font>
    <font>
      <sz val="10"/>
      <color indexed="12"/>
      <name val="Segoe UI"/>
      <family val="2"/>
    </font>
    <font>
      <i/>
      <sz val="10"/>
      <color indexed="17"/>
      <name val="Segoe UI"/>
      <family val="2"/>
    </font>
    <font>
      <b/>
      <sz val="10"/>
      <color rgb="FF0000FF"/>
      <name val="Calibri"/>
      <family val="2"/>
      <scheme val="minor"/>
    </font>
    <font>
      <b/>
      <sz val="10"/>
      <color rgb="FF0070C0"/>
      <name val="Calibri"/>
      <family val="2"/>
      <scheme val="minor"/>
    </font>
    <font>
      <b/>
      <sz val="10"/>
      <name val="Arial"/>
      <family val="2"/>
    </font>
    <font>
      <sz val="10"/>
      <color rgb="FF0070C0"/>
      <name val="Arial"/>
      <family val="2"/>
    </font>
    <font>
      <u/>
      <sz val="10"/>
      <color indexed="12"/>
      <name val="Arial"/>
      <family val="2"/>
    </font>
    <font>
      <sz val="11"/>
      <color rgb="FF0070C0"/>
      <name val="Calibri"/>
      <family val="2"/>
      <scheme val="minor"/>
    </font>
  </fonts>
  <fills count="1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rgb="FFCCFFCC"/>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FFFFCC"/>
        <bgColor rgb="FF000000"/>
      </patternFill>
    </fill>
    <fill>
      <patternFill patternType="solid">
        <fgColor rgb="FFCCFFCC"/>
        <bgColor rgb="FF000000"/>
      </patternFill>
    </fill>
    <fill>
      <patternFill patternType="solid">
        <fgColor theme="2"/>
        <bgColor indexed="64"/>
      </patternFill>
    </fill>
    <fill>
      <patternFill patternType="solid">
        <fgColor rgb="FFF9F9F9"/>
      </patternFill>
    </fill>
    <fill>
      <patternFill patternType="solid">
        <fgColor rgb="FFFFFFFF"/>
      </patternFill>
    </fill>
    <fill>
      <patternFill patternType="solid">
        <fgColor theme="5" tint="0.59999389629810485"/>
        <bgColor indexed="64"/>
      </patternFill>
    </fill>
    <fill>
      <patternFill patternType="solid">
        <fgColor indexed="23"/>
        <bgColor indexed="64"/>
      </patternFill>
    </fill>
    <fill>
      <patternFill patternType="solid">
        <fgColor theme="7" tint="0.59999389629810485"/>
        <bgColor indexed="64"/>
      </patternFill>
    </fill>
    <fill>
      <patternFill patternType="solid">
        <fgColor rgb="FF00B050"/>
        <bgColor indexed="64"/>
      </patternFill>
    </fill>
  </fills>
  <borders count="30">
    <border>
      <left/>
      <right/>
      <top/>
      <bottom/>
      <diagonal/>
    </border>
    <border>
      <left/>
      <right/>
      <top style="thin">
        <color indexed="64"/>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Dashed">
        <color auto="1"/>
      </left>
      <right/>
      <top style="mediumDashed">
        <color auto="1"/>
      </top>
      <bottom style="mediumDashed">
        <color auto="1"/>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mediumDashed">
        <color indexed="64"/>
      </right>
      <top/>
      <bottom/>
      <diagonal/>
    </border>
    <border>
      <left style="thin">
        <color indexed="64"/>
      </left>
      <right style="dashDotDot">
        <color indexed="64"/>
      </right>
      <top/>
      <bottom/>
      <diagonal/>
    </border>
    <border>
      <left style="thin">
        <color indexed="64"/>
      </left>
      <right style="dashDotDot">
        <color indexed="64"/>
      </right>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 fillId="0" borderId="0"/>
    <xf numFmtId="9" fontId="6" fillId="0" borderId="0" applyFont="0" applyFill="0" applyBorder="0" applyAlignment="0" applyProtection="0"/>
    <xf numFmtId="0" fontId="6" fillId="0" borderId="0"/>
    <xf numFmtId="0" fontId="6" fillId="0" borderId="0"/>
    <xf numFmtId="0" fontId="14" fillId="0" borderId="0" applyNumberFormat="0" applyFill="0" applyBorder="0" applyAlignment="0" applyProtection="0"/>
    <xf numFmtId="43" fontId="1" fillId="0" borderId="0" applyFont="0" applyFill="0" applyBorder="0" applyAlignment="0" applyProtection="0"/>
    <xf numFmtId="0" fontId="6" fillId="0" borderId="0">
      <alignment vertical="center"/>
    </xf>
    <xf numFmtId="9" fontId="6" fillId="0" borderId="0" applyFont="0" applyFill="0" applyBorder="0" applyAlignment="0" applyProtection="0"/>
  </cellStyleXfs>
  <cellXfs count="639">
    <xf numFmtId="0" fontId="0" fillId="0" borderId="0" xfId="0"/>
    <xf numFmtId="0" fontId="3" fillId="0" borderId="0" xfId="0" applyFont="1"/>
    <xf numFmtId="0" fontId="3" fillId="0" borderId="0" xfId="0" applyFont="1" applyAlignment="1">
      <alignment horizontal="right"/>
    </xf>
    <xf numFmtId="166" fontId="4" fillId="0" borderId="0" xfId="0" applyNumberFormat="1" applyFont="1" applyAlignment="1">
      <alignment horizontal="right"/>
    </xf>
    <xf numFmtId="0" fontId="4" fillId="0" borderId="0" xfId="0" applyFont="1" applyAlignment="1">
      <alignment horizontal="right"/>
    </xf>
    <xf numFmtId="0" fontId="9" fillId="0" borderId="0" xfId="0" applyFont="1" applyAlignment="1">
      <alignment horizontal="right"/>
    </xf>
    <xf numFmtId="0" fontId="7" fillId="0" borderId="0" xfId="0" applyFont="1" applyAlignment="1">
      <alignment horizontal="right"/>
    </xf>
    <xf numFmtId="172" fontId="2" fillId="0" borderId="0" xfId="0" applyNumberFormat="1" applyFont="1" applyAlignment="1">
      <alignment horizontal="right"/>
    </xf>
    <xf numFmtId="166" fontId="2" fillId="0" borderId="0" xfId="0" applyNumberFormat="1" applyFont="1" applyAlignment="1">
      <alignment horizontal="right"/>
    </xf>
    <xf numFmtId="3" fontId="8" fillId="0" borderId="0" xfId="0" applyNumberFormat="1" applyFont="1" applyAlignment="1">
      <alignment horizontal="right"/>
    </xf>
    <xf numFmtId="14" fontId="3" fillId="0" borderId="0" xfId="0" applyNumberFormat="1" applyFont="1" applyAlignment="1">
      <alignment horizontal="right"/>
    </xf>
    <xf numFmtId="165" fontId="3" fillId="0" borderId="0" xfId="0" applyNumberFormat="1" applyFont="1" applyAlignment="1">
      <alignment horizontal="right"/>
    </xf>
    <xf numFmtId="3" fontId="2" fillId="0" borderId="0" xfId="0" applyNumberFormat="1" applyFont="1" applyAlignment="1">
      <alignment horizontal="right"/>
    </xf>
    <xf numFmtId="14" fontId="3" fillId="0" borderId="0" xfId="0" applyNumberFormat="1" applyFont="1"/>
    <xf numFmtId="14" fontId="0" fillId="0" borderId="0" xfId="0" applyNumberFormat="1"/>
    <xf numFmtId="166" fontId="0" fillId="0" borderId="0" xfId="0" applyNumberFormat="1"/>
    <xf numFmtId="0" fontId="13" fillId="5" borderId="0" xfId="0" applyFont="1" applyFill="1"/>
    <xf numFmtId="0" fontId="14" fillId="0" borderId="0" xfId="8"/>
    <xf numFmtId="9" fontId="0" fillId="0" borderId="0" xfId="2" applyFont="1"/>
    <xf numFmtId="167" fontId="0" fillId="0" borderId="0" xfId="2" applyNumberFormat="1" applyFont="1"/>
    <xf numFmtId="0" fontId="15" fillId="0" borderId="0" xfId="0" applyFont="1"/>
    <xf numFmtId="172" fontId="0" fillId="0" borderId="0" xfId="0" applyNumberFormat="1"/>
    <xf numFmtId="3" fontId="0" fillId="0" borderId="0" xfId="0" applyNumberFormat="1"/>
    <xf numFmtId="166" fontId="5" fillId="0" borderId="0" xfId="0" applyNumberFormat="1" applyFont="1" applyAlignment="1">
      <alignment horizontal="right"/>
    </xf>
    <xf numFmtId="0" fontId="16" fillId="7" borderId="0" xfId="0" applyFont="1" applyFill="1" applyAlignment="1">
      <alignment horizontal="center"/>
    </xf>
    <xf numFmtId="169" fontId="17" fillId="7" borderId="0" xfId="1" applyNumberFormat="1" applyFont="1" applyFill="1" applyAlignment="1">
      <alignment horizontal="center" vertical="center"/>
    </xf>
    <xf numFmtId="0" fontId="16" fillId="0" borderId="0" xfId="0" applyFont="1" applyAlignment="1">
      <alignment horizontal="center"/>
    </xf>
    <xf numFmtId="10" fontId="17" fillId="0" borderId="0" xfId="2" applyNumberFormat="1" applyFont="1" applyAlignment="1">
      <alignment horizontal="center" vertical="center"/>
    </xf>
    <xf numFmtId="175" fontId="17" fillId="0" borderId="0" xfId="2" applyNumberFormat="1" applyFont="1" applyAlignment="1">
      <alignment horizontal="center" vertical="center"/>
    </xf>
    <xf numFmtId="3" fontId="17" fillId="0" borderId="0" xfId="2" applyNumberFormat="1" applyFont="1" applyAlignment="1">
      <alignment horizontal="center" vertical="center"/>
    </xf>
    <xf numFmtId="10" fontId="12" fillId="0" borderId="0" xfId="2" applyNumberFormat="1" applyFont="1" applyAlignment="1">
      <alignment horizontal="center" vertical="center"/>
    </xf>
    <xf numFmtId="175" fontId="12" fillId="0" borderId="0" xfId="2" applyNumberFormat="1" applyFont="1" applyAlignment="1">
      <alignment horizontal="center" vertical="center"/>
    </xf>
    <xf numFmtId="3" fontId="12" fillId="0" borderId="0" xfId="2" applyNumberFormat="1" applyFont="1" applyAlignment="1">
      <alignment horizontal="center" vertical="center"/>
    </xf>
    <xf numFmtId="14" fontId="2" fillId="0" borderId="0" xfId="0" applyNumberFormat="1" applyFont="1" applyAlignment="1">
      <alignment horizontal="right"/>
    </xf>
    <xf numFmtId="0" fontId="12" fillId="6" borderId="0" xfId="0" applyFont="1" applyFill="1" applyAlignment="1">
      <alignment horizontal="center" vertical="center"/>
    </xf>
    <xf numFmtId="2" fontId="17" fillId="8" borderId="0" xfId="0" applyNumberFormat="1" applyFont="1" applyFill="1" applyAlignment="1">
      <alignment horizontal="center" vertical="center"/>
    </xf>
    <xf numFmtId="2" fontId="17" fillId="8" borderId="0" xfId="9" applyNumberFormat="1" applyFont="1" applyFill="1" applyAlignment="1">
      <alignment horizontal="center" vertical="center"/>
    </xf>
    <xf numFmtId="2" fontId="17" fillId="4" borderId="0" xfId="9" applyNumberFormat="1" applyFont="1" applyFill="1" applyAlignment="1">
      <alignment horizontal="center" vertical="center"/>
    </xf>
    <xf numFmtId="4" fontId="17" fillId="8" borderId="0" xfId="0" applyNumberFormat="1" applyFont="1" applyFill="1" applyAlignment="1">
      <alignment horizontal="center" vertical="center"/>
    </xf>
    <xf numFmtId="2" fontId="17" fillId="4" borderId="0" xfId="0" applyNumberFormat="1" applyFont="1" applyFill="1" applyAlignment="1">
      <alignment horizontal="center" vertical="center"/>
    </xf>
    <xf numFmtId="9" fontId="17" fillId="8" borderId="0" xfId="2" applyFont="1" applyFill="1" applyAlignment="1">
      <alignment horizontal="center" vertical="center"/>
    </xf>
    <xf numFmtId="9" fontId="17" fillId="4" borderId="0" xfId="2" applyFont="1" applyFill="1" applyAlignment="1">
      <alignment horizontal="center" vertical="center"/>
    </xf>
    <xf numFmtId="0" fontId="12" fillId="6" borderId="2" xfId="0" applyFont="1" applyFill="1" applyBorder="1" applyAlignment="1">
      <alignment horizontal="center" vertical="center"/>
    </xf>
    <xf numFmtId="0" fontId="17" fillId="8" borderId="0" xfId="0" applyFont="1" applyFill="1" applyAlignment="1">
      <alignment horizontal="center" vertical="center"/>
    </xf>
    <xf numFmtId="10" fontId="17" fillId="8" borderId="0" xfId="2" applyNumberFormat="1" applyFont="1" applyFill="1" applyAlignment="1">
      <alignment horizontal="center" vertical="center"/>
    </xf>
    <xf numFmtId="10" fontId="17" fillId="8" borderId="2" xfId="2" applyNumberFormat="1" applyFont="1" applyFill="1" applyBorder="1" applyAlignment="1">
      <alignment horizontal="center" vertical="center"/>
    </xf>
    <xf numFmtId="167" fontId="20" fillId="4" borderId="0" xfId="2" applyNumberFormat="1" applyFont="1" applyFill="1" applyAlignment="1">
      <alignment horizontal="center" vertical="center"/>
    </xf>
    <xf numFmtId="167" fontId="17" fillId="4" borderId="0" xfId="2" applyNumberFormat="1" applyFont="1" applyFill="1" applyAlignment="1">
      <alignment horizontal="center" vertical="center"/>
    </xf>
    <xf numFmtId="167" fontId="17" fillId="8" borderId="0" xfId="2" applyNumberFormat="1" applyFont="1" applyFill="1" applyAlignment="1">
      <alignment horizontal="center" vertical="center"/>
    </xf>
    <xf numFmtId="167" fontId="17" fillId="8" borderId="2" xfId="2" applyNumberFormat="1" applyFont="1" applyFill="1" applyBorder="1" applyAlignment="1">
      <alignment horizontal="center" vertical="center"/>
    </xf>
    <xf numFmtId="167" fontId="18" fillId="4" borderId="0" xfId="2" applyNumberFormat="1" applyFont="1" applyFill="1" applyAlignment="1">
      <alignment horizontal="center" vertical="center"/>
    </xf>
    <xf numFmtId="10" fontId="17" fillId="4" borderId="0" xfId="2" applyNumberFormat="1" applyFont="1" applyFill="1" applyAlignment="1">
      <alignment horizontal="center" vertical="center"/>
    </xf>
    <xf numFmtId="10" fontId="18" fillId="8" borderId="0" xfId="2" applyNumberFormat="1" applyFont="1" applyFill="1" applyAlignment="1">
      <alignment horizontal="center" vertical="center"/>
    </xf>
    <xf numFmtId="0" fontId="12" fillId="8" borderId="0" xfId="0" applyFont="1" applyFill="1" applyAlignment="1">
      <alignment horizontal="center" vertical="center"/>
    </xf>
    <xf numFmtId="3" fontId="12" fillId="8" borderId="0" xfId="0" applyNumberFormat="1" applyFont="1" applyFill="1" applyAlignment="1">
      <alignment horizontal="center" vertical="center"/>
    </xf>
    <xf numFmtId="3" fontId="17" fillId="8" borderId="0" xfId="0" applyNumberFormat="1" applyFont="1" applyFill="1" applyAlignment="1">
      <alignment horizontal="center" vertical="center"/>
    </xf>
    <xf numFmtId="4" fontId="17" fillId="8" borderId="0" xfId="9" applyNumberFormat="1" applyFont="1" applyFill="1" applyAlignment="1">
      <alignment horizontal="center" vertical="center"/>
    </xf>
    <xf numFmtId="4" fontId="17" fillId="8" borderId="2" xfId="9" applyNumberFormat="1" applyFont="1" applyFill="1" applyBorder="1" applyAlignment="1">
      <alignment horizontal="center" vertical="center"/>
    </xf>
    <xf numFmtId="4" fontId="17" fillId="4" borderId="0" xfId="9" applyNumberFormat="1" applyFont="1" applyFill="1" applyAlignment="1">
      <alignment horizontal="center" vertical="center"/>
    </xf>
    <xf numFmtId="4" fontId="18" fillId="4" borderId="0" xfId="9" applyNumberFormat="1" applyFont="1" applyFill="1" applyAlignment="1">
      <alignment horizontal="center" vertical="center"/>
    </xf>
    <xf numFmtId="3" fontId="17" fillId="8" borderId="0" xfId="9" applyNumberFormat="1" applyFont="1" applyFill="1" applyAlignment="1">
      <alignment horizontal="center" vertical="center"/>
    </xf>
    <xf numFmtId="3" fontId="17" fillId="4" borderId="0" xfId="9" applyNumberFormat="1" applyFont="1" applyFill="1" applyAlignment="1">
      <alignment horizontal="center" vertical="center"/>
    </xf>
    <xf numFmtId="3" fontId="18" fillId="4" borderId="0" xfId="9" applyNumberFormat="1" applyFont="1" applyFill="1" applyAlignment="1">
      <alignment horizontal="center" vertical="center"/>
    </xf>
    <xf numFmtId="10" fontId="20" fillId="4" borderId="0" xfId="2" applyNumberFormat="1" applyFont="1" applyFill="1" applyAlignment="1">
      <alignment horizontal="center" vertical="center"/>
    </xf>
    <xf numFmtId="10" fontId="21" fillId="4" borderId="0" xfId="2" applyNumberFormat="1" applyFont="1" applyFill="1" applyAlignment="1">
      <alignment horizontal="center" vertical="center"/>
    </xf>
    <xf numFmtId="10" fontId="22" fillId="4" borderId="0" xfId="2" applyNumberFormat="1" applyFont="1" applyFill="1" applyAlignment="1">
      <alignment horizontal="center" vertical="center"/>
    </xf>
    <xf numFmtId="4" fontId="17" fillId="8" borderId="0" xfId="2" applyNumberFormat="1" applyFont="1" applyFill="1" applyAlignment="1">
      <alignment horizontal="center" vertical="center"/>
    </xf>
    <xf numFmtId="4" fontId="17" fillId="8" borderId="2" xfId="2" applyNumberFormat="1" applyFont="1" applyFill="1" applyBorder="1" applyAlignment="1">
      <alignment horizontal="center" vertical="center"/>
    </xf>
    <xf numFmtId="4" fontId="17" fillId="4" borderId="0" xfId="2" applyNumberFormat="1" applyFont="1" applyFill="1" applyAlignment="1">
      <alignment horizontal="center" vertical="center"/>
    </xf>
    <xf numFmtId="3" fontId="17" fillId="8" borderId="0" xfId="2" applyNumberFormat="1" applyFont="1" applyFill="1" applyAlignment="1">
      <alignment horizontal="center" vertical="center"/>
    </xf>
    <xf numFmtId="166" fontId="17" fillId="4" borderId="0" xfId="2" applyNumberFormat="1" applyFont="1" applyFill="1" applyAlignment="1">
      <alignment horizontal="center" vertical="center"/>
    </xf>
    <xf numFmtId="3" fontId="17" fillId="4" borderId="0" xfId="2" applyNumberFormat="1" applyFont="1" applyFill="1" applyAlignment="1">
      <alignment horizontal="center" vertical="center"/>
    </xf>
    <xf numFmtId="166" fontId="17" fillId="8" borderId="0" xfId="2" applyNumberFormat="1" applyFont="1" applyFill="1" applyAlignment="1">
      <alignment horizontal="center" vertical="center"/>
    </xf>
    <xf numFmtId="166" fontId="17" fillId="6" borderId="0" xfId="0" applyNumberFormat="1" applyFont="1" applyFill="1" applyAlignment="1">
      <alignment horizontal="center" vertical="center"/>
    </xf>
    <xf numFmtId="166" fontId="17" fillId="6" borderId="2" xfId="0" applyNumberFormat="1" applyFont="1" applyFill="1" applyBorder="1" applyAlignment="1">
      <alignment horizontal="center" vertical="center"/>
    </xf>
    <xf numFmtId="4" fontId="17" fillId="6" borderId="0" xfId="9" applyNumberFormat="1" applyFont="1" applyFill="1" applyAlignment="1">
      <alignment horizontal="center" vertical="center"/>
    </xf>
    <xf numFmtId="166" fontId="17" fillId="8" borderId="0" xfId="0" applyNumberFormat="1" applyFont="1" applyFill="1" applyAlignment="1">
      <alignment horizontal="center" vertical="center"/>
    </xf>
    <xf numFmtId="166" fontId="17" fillId="4" borderId="0" xfId="0" applyNumberFormat="1" applyFont="1" applyFill="1" applyAlignment="1">
      <alignment horizontal="center" vertical="center"/>
    </xf>
    <xf numFmtId="0" fontId="17" fillId="4" borderId="0" xfId="0" applyFont="1" applyFill="1" applyAlignment="1">
      <alignment horizontal="center" vertical="center"/>
    </xf>
    <xf numFmtId="0" fontId="17" fillId="8" borderId="2" xfId="0" applyFont="1" applyFill="1" applyBorder="1" applyAlignment="1">
      <alignment horizontal="center" vertical="center"/>
    </xf>
    <xf numFmtId="10" fontId="18" fillId="4" borderId="0" xfId="2" applyNumberFormat="1" applyFont="1" applyFill="1" applyAlignment="1">
      <alignment horizontal="center" vertical="center"/>
    </xf>
    <xf numFmtId="0" fontId="17" fillId="10" borderId="0" xfId="0" applyFont="1" applyFill="1" applyAlignment="1">
      <alignment horizontal="center" vertical="center"/>
    </xf>
    <xf numFmtId="9" fontId="2" fillId="0" borderId="0" xfId="2" applyFont="1" applyAlignment="1">
      <alignment horizontal="right"/>
    </xf>
    <xf numFmtId="3" fontId="17" fillId="0" borderId="0" xfId="6" applyNumberFormat="1" applyFont="1" applyAlignment="1">
      <alignment horizontal="center" vertical="center"/>
    </xf>
    <xf numFmtId="10" fontId="19" fillId="4" borderId="0" xfId="2" applyNumberFormat="1" applyFont="1" applyFill="1" applyAlignment="1">
      <alignment horizontal="center" vertical="center"/>
    </xf>
    <xf numFmtId="2" fontId="24" fillId="0" borderId="0" xfId="0" applyNumberFormat="1" applyFont="1"/>
    <xf numFmtId="167" fontId="19" fillId="4" borderId="0" xfId="2" applyNumberFormat="1" applyFont="1" applyFill="1" applyAlignment="1">
      <alignment horizontal="center" vertical="center"/>
    </xf>
    <xf numFmtId="4" fontId="12" fillId="4" borderId="0" xfId="9" applyNumberFormat="1" applyFont="1" applyFill="1" applyAlignment="1">
      <alignment horizontal="center" vertical="center"/>
    </xf>
    <xf numFmtId="0" fontId="17" fillId="5" borderId="0" xfId="6" applyFont="1" applyFill="1" applyAlignment="1">
      <alignment horizontal="left" vertical="center"/>
    </xf>
    <xf numFmtId="0" fontId="0" fillId="5" borderId="0" xfId="0" applyFill="1"/>
    <xf numFmtId="167" fontId="12" fillId="8" borderId="0" xfId="2" applyNumberFormat="1" applyFont="1" applyFill="1" applyAlignment="1">
      <alignment horizontal="center" vertical="center"/>
    </xf>
    <xf numFmtId="10" fontId="17" fillId="5" borderId="0" xfId="2" applyNumberFormat="1" applyFont="1" applyFill="1" applyAlignment="1">
      <alignment horizontal="center" vertical="center"/>
    </xf>
    <xf numFmtId="167" fontId="13" fillId="0" borderId="0" xfId="2" applyNumberFormat="1" applyFont="1"/>
    <xf numFmtId="0" fontId="25" fillId="0" borderId="0" xfId="0" applyFont="1" applyAlignment="1">
      <alignment horizontal="center"/>
    </xf>
    <xf numFmtId="0" fontId="23" fillId="0" borderId="0" xfId="0" applyFont="1" applyAlignment="1">
      <alignment horizontal="center"/>
    </xf>
    <xf numFmtId="0" fontId="12" fillId="6" borderId="0" xfId="0" applyFont="1" applyFill="1" applyAlignment="1">
      <alignment horizontal="left" vertical="center"/>
    </xf>
    <xf numFmtId="168" fontId="17" fillId="4" borderId="0" xfId="1" applyNumberFormat="1" applyFont="1" applyFill="1" applyAlignment="1">
      <alignment horizontal="center" vertical="center"/>
    </xf>
    <xf numFmtId="10" fontId="17" fillId="10" borderId="2" xfId="5" applyNumberFormat="1" applyFont="1" applyFill="1" applyBorder="1" applyAlignment="1">
      <alignment horizontal="center" vertical="center"/>
    </xf>
    <xf numFmtId="2" fontId="17" fillId="4" borderId="0" xfId="2" applyNumberFormat="1" applyFont="1" applyFill="1" applyAlignment="1">
      <alignment horizontal="center" vertical="center"/>
    </xf>
    <xf numFmtId="0" fontId="15" fillId="0" borderId="0" xfId="0" applyFont="1" applyAlignment="1">
      <alignment horizontal="right"/>
    </xf>
    <xf numFmtId="0" fontId="0" fillId="0" borderId="0" xfId="0" applyAlignment="1">
      <alignment horizontal="right"/>
    </xf>
    <xf numFmtId="3" fontId="0" fillId="0" borderId="0" xfId="0" applyNumberFormat="1" applyAlignment="1">
      <alignment horizontal="right"/>
    </xf>
    <xf numFmtId="4" fontId="0" fillId="0" borderId="0" xfId="0" applyNumberFormat="1" applyAlignment="1">
      <alignment horizontal="right"/>
    </xf>
    <xf numFmtId="4" fontId="26" fillId="0" borderId="0" xfId="0" applyNumberFormat="1" applyFont="1" applyAlignment="1">
      <alignment horizontal="right"/>
    </xf>
    <xf numFmtId="165" fontId="0" fillId="0" borderId="0" xfId="0" applyNumberFormat="1" applyAlignment="1">
      <alignment horizontal="right"/>
    </xf>
    <xf numFmtId="4" fontId="24" fillId="0" borderId="0" xfId="0" applyNumberFormat="1" applyFont="1" applyAlignment="1">
      <alignment horizontal="right"/>
    </xf>
    <xf numFmtId="0" fontId="15" fillId="0" borderId="6" xfId="0" applyFont="1" applyBorder="1"/>
    <xf numFmtId="0" fontId="9" fillId="0" borderId="6" xfId="0" applyFont="1" applyBorder="1" applyAlignment="1">
      <alignment horizontal="right"/>
    </xf>
    <xf numFmtId="0" fontId="9" fillId="0" borderId="8" xfId="0" applyFont="1" applyBorder="1" applyAlignment="1">
      <alignment horizontal="right"/>
    </xf>
    <xf numFmtId="2" fontId="17" fillId="8" borderId="2" xfId="9" applyNumberFormat="1" applyFont="1" applyFill="1" applyBorder="1" applyAlignment="1">
      <alignment horizontal="center" vertical="center"/>
    </xf>
    <xf numFmtId="3" fontId="17" fillId="8" borderId="2" xfId="9" applyNumberFormat="1" applyFont="1" applyFill="1" applyBorder="1" applyAlignment="1">
      <alignment horizontal="center" vertical="center"/>
    </xf>
    <xf numFmtId="14" fontId="12" fillId="7" borderId="0" xfId="0" applyNumberFormat="1" applyFont="1" applyFill="1" applyAlignment="1">
      <alignment horizontal="center" vertical="center"/>
    </xf>
    <xf numFmtId="0" fontId="12" fillId="7" borderId="0" xfId="2" applyNumberFormat="1" applyFont="1" applyFill="1" applyAlignment="1">
      <alignment horizontal="center" vertical="center"/>
    </xf>
    <xf numFmtId="0" fontId="12" fillId="7" borderId="2" xfId="2" applyNumberFormat="1" applyFont="1" applyFill="1" applyBorder="1" applyAlignment="1">
      <alignment horizontal="center" vertical="center"/>
    </xf>
    <xf numFmtId="176" fontId="12" fillId="7" borderId="0" xfId="0" applyNumberFormat="1" applyFont="1" applyFill="1" applyAlignment="1">
      <alignment horizontal="center" vertical="center"/>
    </xf>
    <xf numFmtId="176" fontId="12" fillId="7" borderId="0" xfId="2" applyNumberFormat="1" applyFont="1" applyFill="1" applyAlignment="1">
      <alignment horizontal="center" vertical="center"/>
    </xf>
    <xf numFmtId="176" fontId="12" fillId="7" borderId="2" xfId="2" applyNumberFormat="1" applyFont="1" applyFill="1" applyBorder="1" applyAlignment="1">
      <alignment horizontal="center" vertical="center"/>
    </xf>
    <xf numFmtId="10" fontId="12" fillId="6" borderId="0" xfId="0" applyNumberFormat="1" applyFont="1" applyFill="1" applyAlignment="1">
      <alignment horizontal="center" vertical="center"/>
    </xf>
    <xf numFmtId="3" fontId="12" fillId="6" borderId="0" xfId="0" applyNumberFormat="1" applyFont="1" applyFill="1" applyAlignment="1">
      <alignment horizontal="center" vertical="center"/>
    </xf>
    <xf numFmtId="10" fontId="21" fillId="5" borderId="0" xfId="2" applyNumberFormat="1" applyFont="1" applyFill="1" applyAlignment="1">
      <alignment horizontal="center" vertical="center"/>
    </xf>
    <xf numFmtId="10" fontId="12" fillId="5" borderId="0" xfId="2" applyNumberFormat="1" applyFont="1" applyFill="1" applyAlignment="1">
      <alignment horizontal="center" vertical="center"/>
    </xf>
    <xf numFmtId="10" fontId="17" fillId="4" borderId="0" xfId="2" applyNumberFormat="1" applyFont="1" applyFill="1" applyAlignment="1">
      <alignment horizontal="left" vertical="center"/>
    </xf>
    <xf numFmtId="177" fontId="12" fillId="6" borderId="0" xfId="0" applyNumberFormat="1" applyFont="1" applyFill="1" applyAlignment="1">
      <alignment horizontal="center" vertical="center"/>
    </xf>
    <xf numFmtId="3" fontId="18" fillId="8" borderId="0" xfId="2" applyNumberFormat="1" applyFont="1" applyFill="1" applyAlignment="1">
      <alignment horizontal="center" vertical="center"/>
    </xf>
    <xf numFmtId="3" fontId="18" fillId="4" borderId="0" xfId="2" applyNumberFormat="1" applyFont="1" applyFill="1" applyAlignment="1">
      <alignment horizontal="center" vertical="center"/>
    </xf>
    <xf numFmtId="166" fontId="17" fillId="8" borderId="0" xfId="9" applyNumberFormat="1" applyFont="1" applyFill="1" applyAlignment="1">
      <alignment horizontal="center" vertical="center"/>
    </xf>
    <xf numFmtId="166" fontId="17" fillId="8" borderId="2" xfId="9" applyNumberFormat="1" applyFont="1" applyFill="1" applyBorder="1" applyAlignment="1">
      <alignment horizontal="center" vertical="center"/>
    </xf>
    <xf numFmtId="166" fontId="17" fillId="4" borderId="0" xfId="9" applyNumberFormat="1" applyFont="1" applyFill="1" applyAlignment="1">
      <alignment horizontal="center" vertical="center"/>
    </xf>
    <xf numFmtId="166" fontId="18" fillId="4" borderId="0" xfId="2" applyNumberFormat="1" applyFont="1" applyFill="1" applyAlignment="1">
      <alignment horizontal="center" vertical="center"/>
    </xf>
    <xf numFmtId="167" fontId="12" fillId="6" borderId="0" xfId="2" applyNumberFormat="1" applyFont="1" applyFill="1" applyAlignment="1">
      <alignment horizontal="center" vertical="center"/>
    </xf>
    <xf numFmtId="10" fontId="19" fillId="5" borderId="12" xfId="2" applyNumberFormat="1" applyFont="1" applyFill="1" applyBorder="1" applyAlignment="1">
      <alignment horizontal="center" vertical="center"/>
    </xf>
    <xf numFmtId="2" fontId="12" fillId="6" borderId="0" xfId="0" applyNumberFormat="1" applyFont="1" applyFill="1" applyAlignment="1">
      <alignment horizontal="center" vertical="center"/>
    </xf>
    <xf numFmtId="4" fontId="20" fillId="8" borderId="0" xfId="0" applyNumberFormat="1" applyFont="1" applyFill="1" applyAlignment="1">
      <alignment horizontal="center" vertical="center"/>
    </xf>
    <xf numFmtId="10" fontId="12" fillId="6" borderId="0" xfId="2" applyNumberFormat="1" applyFont="1" applyFill="1" applyAlignment="1">
      <alignment horizontal="center" vertical="center"/>
    </xf>
    <xf numFmtId="10" fontId="18" fillId="8" borderId="13" xfId="2" applyNumberFormat="1" applyFont="1" applyFill="1" applyBorder="1" applyAlignment="1">
      <alignment horizontal="center" vertical="center"/>
    </xf>
    <xf numFmtId="167" fontId="18" fillId="8" borderId="0" xfId="2" applyNumberFormat="1" applyFont="1" applyFill="1" applyAlignment="1">
      <alignment horizontal="center" vertical="center"/>
    </xf>
    <xf numFmtId="4" fontId="12" fillId="8" borderId="0" xfId="2" applyNumberFormat="1" applyFont="1" applyFill="1" applyAlignment="1">
      <alignment horizontal="center" vertical="center"/>
    </xf>
    <xf numFmtId="0" fontId="12" fillId="5" borderId="0" xfId="6" applyFont="1" applyFill="1" applyAlignment="1">
      <alignment horizontal="left" vertical="center"/>
    </xf>
    <xf numFmtId="0" fontId="17" fillId="12" borderId="14" xfId="6" applyFont="1" applyFill="1" applyBorder="1" applyAlignment="1">
      <alignment horizontal="center" vertical="center"/>
    </xf>
    <xf numFmtId="3" fontId="17" fillId="12" borderId="14" xfId="6" applyNumberFormat="1" applyFont="1" applyFill="1" applyBorder="1" applyAlignment="1">
      <alignment horizontal="center" vertical="center"/>
    </xf>
    <xf numFmtId="0" fontId="17" fillId="12" borderId="15" xfId="6" applyFont="1" applyFill="1" applyBorder="1" applyAlignment="1">
      <alignment horizontal="center" vertical="center"/>
    </xf>
    <xf numFmtId="0" fontId="17" fillId="12" borderId="16" xfId="6" applyFont="1" applyFill="1" applyBorder="1" applyAlignment="1">
      <alignment horizontal="center" vertical="center"/>
    </xf>
    <xf numFmtId="3" fontId="17" fillId="0" borderId="17" xfId="6" applyNumberFormat="1" applyFont="1" applyBorder="1" applyAlignment="1">
      <alignment horizontal="center" vertical="center"/>
    </xf>
    <xf numFmtId="14" fontId="27" fillId="0" borderId="0" xfId="0" applyNumberFormat="1" applyFont="1" applyAlignment="1">
      <alignment horizontal="right"/>
    </xf>
    <xf numFmtId="2" fontId="27" fillId="0" borderId="0" xfId="0" applyNumberFormat="1" applyFont="1" applyAlignment="1">
      <alignment horizontal="right"/>
    </xf>
    <xf numFmtId="3" fontId="20" fillId="0" borderId="0" xfId="6" applyNumberFormat="1" applyFont="1" applyAlignment="1">
      <alignment horizontal="center" vertical="center"/>
    </xf>
    <xf numFmtId="3" fontId="20" fillId="0" borderId="17" xfId="6" applyNumberFormat="1" applyFont="1" applyBorder="1" applyAlignment="1">
      <alignment horizontal="center" vertical="center"/>
    </xf>
    <xf numFmtId="2" fontId="2" fillId="0" borderId="0" xfId="0" applyNumberFormat="1" applyFont="1" applyAlignment="1">
      <alignment horizontal="right"/>
    </xf>
    <xf numFmtId="0" fontId="28" fillId="0" borderId="0" xfId="0" applyFont="1"/>
    <xf numFmtId="166" fontId="27" fillId="0" borderId="0" xfId="0" applyNumberFormat="1" applyFont="1" applyAlignment="1">
      <alignment horizontal="right"/>
    </xf>
    <xf numFmtId="14" fontId="17" fillId="5" borderId="0" xfId="6" applyNumberFormat="1" applyFont="1" applyFill="1" applyAlignment="1">
      <alignment horizontal="left" vertical="center"/>
    </xf>
    <xf numFmtId="14" fontId="7" fillId="0" borderId="0" xfId="0" applyNumberFormat="1" applyFont="1" applyAlignment="1">
      <alignment horizontal="right"/>
    </xf>
    <xf numFmtId="43" fontId="0" fillId="0" borderId="0" xfId="1" applyFont="1" applyAlignment="1">
      <alignment horizontal="center"/>
    </xf>
    <xf numFmtId="0" fontId="15" fillId="0" borderId="0" xfId="0" applyFont="1" applyAlignment="1">
      <alignment horizontal="center"/>
    </xf>
    <xf numFmtId="17" fontId="29" fillId="0" borderId="1" xfId="0" applyNumberFormat="1" applyFont="1" applyBorder="1"/>
    <xf numFmtId="0" fontId="32" fillId="0" borderId="0" xfId="0" applyFont="1"/>
    <xf numFmtId="4" fontId="34" fillId="0" borderId="0" xfId="0" applyNumberFormat="1" applyFont="1"/>
    <xf numFmtId="0" fontId="31" fillId="0" borderId="0" xfId="0" applyFont="1" applyAlignment="1">
      <alignment horizontal="center"/>
    </xf>
    <xf numFmtId="14" fontId="32" fillId="0" borderId="0" xfId="0" applyNumberFormat="1" applyFont="1"/>
    <xf numFmtId="3" fontId="40" fillId="0" borderId="0" xfId="1" applyNumberFormat="1" applyFont="1" applyBorder="1" applyAlignment="1">
      <alignment horizontal="center"/>
    </xf>
    <xf numFmtId="167" fontId="40" fillId="0" borderId="0" xfId="2" applyNumberFormat="1" applyFont="1" applyBorder="1" applyAlignment="1">
      <alignment horizontal="center"/>
    </xf>
    <xf numFmtId="167" fontId="42" fillId="0" borderId="0" xfId="2" applyNumberFormat="1" applyFont="1" applyBorder="1" applyAlignment="1">
      <alignment horizontal="center"/>
    </xf>
    <xf numFmtId="167" fontId="13" fillId="0" borderId="0" xfId="0" applyNumberFormat="1" applyFont="1"/>
    <xf numFmtId="2" fontId="0" fillId="0" borderId="0" xfId="0" applyNumberFormat="1"/>
    <xf numFmtId="180" fontId="6" fillId="13" borderId="0" xfId="0" applyNumberFormat="1" applyFont="1" applyFill="1" applyAlignment="1">
      <alignment horizontal="right"/>
    </xf>
    <xf numFmtId="180" fontId="6" fillId="14" borderId="0" xfId="0" applyNumberFormat="1" applyFont="1" applyFill="1" applyAlignment="1">
      <alignment horizontal="right"/>
    </xf>
    <xf numFmtId="0" fontId="34" fillId="0" borderId="0" xfId="0" applyFont="1"/>
    <xf numFmtId="0" fontId="34" fillId="0" borderId="0" xfId="0" applyFont="1" applyAlignment="1">
      <alignment horizontal="center"/>
    </xf>
    <xf numFmtId="0" fontId="36" fillId="0" borderId="0" xfId="0" applyFont="1"/>
    <xf numFmtId="0" fontId="31" fillId="0" borderId="3" xfId="0" applyFont="1" applyBorder="1" applyAlignment="1">
      <alignment horizontal="center"/>
    </xf>
    <xf numFmtId="3" fontId="36" fillId="0" borderId="0" xfId="0" applyNumberFormat="1" applyFont="1" applyAlignment="1">
      <alignment horizontal="center"/>
    </xf>
    <xf numFmtId="0" fontId="31" fillId="0" borderId="3" xfId="0" applyFont="1" applyBorder="1" applyAlignment="1">
      <alignment horizontal="left"/>
    </xf>
    <xf numFmtId="3" fontId="31" fillId="0" borderId="3" xfId="0" applyNumberFormat="1" applyFont="1" applyBorder="1" applyAlignment="1">
      <alignment horizontal="center"/>
    </xf>
    <xf numFmtId="4" fontId="36" fillId="0" borderId="0" xfId="0" applyNumberFormat="1" applyFont="1" applyAlignment="1">
      <alignment horizontal="left"/>
    </xf>
    <xf numFmtId="0" fontId="35" fillId="0" borderId="0" xfId="10" applyFont="1" applyAlignment="1">
      <alignment horizontal="center"/>
    </xf>
    <xf numFmtId="4" fontId="36" fillId="0" borderId="0" xfId="0" applyNumberFormat="1" applyFont="1" applyAlignment="1">
      <alignment horizontal="center"/>
    </xf>
    <xf numFmtId="38" fontId="31" fillId="0" borderId="0" xfId="1" applyNumberFormat="1" applyFont="1" applyAlignment="1">
      <alignment horizontal="center"/>
    </xf>
    <xf numFmtId="167" fontId="36" fillId="0" borderId="0" xfId="2" applyNumberFormat="1" applyFont="1" applyAlignment="1">
      <alignment horizontal="center"/>
    </xf>
    <xf numFmtId="0" fontId="34" fillId="0" borderId="0" xfId="0" applyFont="1" applyAlignment="1">
      <alignment horizontal="center" vertical="center"/>
    </xf>
    <xf numFmtId="0" fontId="36" fillId="9" borderId="0" xfId="0" applyFont="1" applyFill="1"/>
    <xf numFmtId="4" fontId="36" fillId="9" borderId="0" xfId="0" applyNumberFormat="1" applyFont="1" applyFill="1" applyAlignment="1">
      <alignment horizontal="left"/>
    </xf>
    <xf numFmtId="0" fontId="35" fillId="9" borderId="0" xfId="10" applyFont="1" applyFill="1" applyAlignment="1">
      <alignment horizontal="center"/>
    </xf>
    <xf numFmtId="4" fontId="36" fillId="9" borderId="0" xfId="0" applyNumberFormat="1" applyFont="1" applyFill="1" applyAlignment="1">
      <alignment horizontal="center"/>
    </xf>
    <xf numFmtId="38" fontId="31" fillId="9" borderId="0" xfId="1" applyNumberFormat="1" applyFont="1" applyFill="1" applyAlignment="1">
      <alignment horizontal="center"/>
    </xf>
    <xf numFmtId="3" fontId="36" fillId="9" borderId="0" xfId="0" applyNumberFormat="1" applyFont="1" applyFill="1" applyAlignment="1">
      <alignment horizontal="center"/>
    </xf>
    <xf numFmtId="167" fontId="36" fillId="9" borderId="0" xfId="2" applyNumberFormat="1" applyFont="1" applyFill="1" applyAlignment="1">
      <alignment horizontal="center"/>
    </xf>
    <xf numFmtId="0" fontId="37" fillId="0" borderId="0" xfId="0" applyFont="1" applyAlignment="1">
      <alignment horizontal="center" vertical="center"/>
    </xf>
    <xf numFmtId="4" fontId="32" fillId="0" borderId="0" xfId="0" applyNumberFormat="1" applyFont="1"/>
    <xf numFmtId="0" fontId="34" fillId="0" borderId="0" xfId="0" applyFont="1" applyAlignment="1">
      <alignment horizontal="right"/>
    </xf>
    <xf numFmtId="0" fontId="32" fillId="0" borderId="0" xfId="3" applyFont="1"/>
    <xf numFmtId="176" fontId="2" fillId="0" borderId="0" xfId="0" applyNumberFormat="1" applyFont="1" applyAlignment="1">
      <alignment horizontal="right"/>
    </xf>
    <xf numFmtId="176" fontId="27" fillId="0" borderId="0" xfId="0" applyNumberFormat="1" applyFont="1" applyAlignment="1">
      <alignment horizontal="right"/>
    </xf>
    <xf numFmtId="0" fontId="17" fillId="12" borderId="0" xfId="6" applyFont="1" applyFill="1" applyAlignment="1">
      <alignment horizontal="center" vertical="center"/>
    </xf>
    <xf numFmtId="0" fontId="17" fillId="12" borderId="17" xfId="6" applyFont="1" applyFill="1" applyBorder="1" applyAlignment="1">
      <alignment horizontal="center" vertical="center"/>
    </xf>
    <xf numFmtId="172" fontId="5" fillId="0" borderId="0" xfId="0" applyNumberFormat="1" applyFont="1" applyAlignment="1">
      <alignment horizontal="right"/>
    </xf>
    <xf numFmtId="176" fontId="5" fillId="0" borderId="0" xfId="0" applyNumberFormat="1" applyFont="1" applyAlignment="1">
      <alignment horizontal="right"/>
    </xf>
    <xf numFmtId="0" fontId="18" fillId="12" borderId="0" xfId="6" applyFont="1" applyFill="1" applyAlignment="1">
      <alignment horizontal="center" vertical="center"/>
    </xf>
    <xf numFmtId="166" fontId="26" fillId="0" borderId="0" xfId="0" applyNumberFormat="1" applyFont="1"/>
    <xf numFmtId="3" fontId="17" fillId="7" borderId="0" xfId="9" applyNumberFormat="1" applyFont="1" applyFill="1" applyAlignment="1">
      <alignment horizontal="center" vertical="center"/>
    </xf>
    <xf numFmtId="0" fontId="55" fillId="0" borderId="0" xfId="0" applyFont="1"/>
    <xf numFmtId="0" fontId="56" fillId="16" borderId="0" xfId="1" applyNumberFormat="1" applyFont="1" applyFill="1" applyAlignment="1">
      <alignment horizontal="center" vertical="center"/>
    </xf>
    <xf numFmtId="0" fontId="57" fillId="0" borderId="0" xfId="0" applyFont="1"/>
    <xf numFmtId="167" fontId="57" fillId="0" borderId="0" xfId="2" applyNumberFormat="1" applyFont="1"/>
    <xf numFmtId="0" fontId="57" fillId="0" borderId="0" xfId="0" applyFont="1" applyAlignment="1">
      <alignment horizontal="right"/>
    </xf>
    <xf numFmtId="169" fontId="55" fillId="0" borderId="0" xfId="1" applyNumberFormat="1" applyFont="1"/>
    <xf numFmtId="3" fontId="55" fillId="0" borderId="0" xfId="0" applyNumberFormat="1" applyFont="1"/>
    <xf numFmtId="167" fontId="55" fillId="0" borderId="0" xfId="2" applyNumberFormat="1" applyFont="1"/>
    <xf numFmtId="37" fontId="55" fillId="0" borderId="0" xfId="1" applyNumberFormat="1" applyFont="1"/>
    <xf numFmtId="0" fontId="58" fillId="0" borderId="0" xfId="0" applyFont="1"/>
    <xf numFmtId="3" fontId="58" fillId="0" borderId="0" xfId="0" applyNumberFormat="1" applyFont="1"/>
    <xf numFmtId="169" fontId="58" fillId="0" borderId="0" xfId="1" applyNumberFormat="1" applyFont="1"/>
    <xf numFmtId="167" fontId="58" fillId="0" borderId="0" xfId="2" applyNumberFormat="1" applyFont="1"/>
    <xf numFmtId="43" fontId="55" fillId="0" borderId="0" xfId="1" applyFont="1"/>
    <xf numFmtId="37" fontId="55" fillId="0" borderId="0" xfId="0" applyNumberFormat="1" applyFont="1"/>
    <xf numFmtId="164" fontId="55" fillId="0" borderId="0" xfId="0" applyNumberFormat="1" applyFont="1"/>
    <xf numFmtId="167" fontId="40" fillId="0" borderId="0" xfId="1" applyNumberFormat="1" applyFont="1" applyBorder="1" applyAlignment="1">
      <alignment horizontal="center"/>
    </xf>
    <xf numFmtId="37" fontId="58" fillId="0" borderId="0" xfId="1" applyNumberFormat="1" applyFont="1"/>
    <xf numFmtId="167" fontId="55" fillId="0" borderId="0" xfId="2" applyNumberFormat="1" applyFont="1" applyBorder="1"/>
    <xf numFmtId="167" fontId="33" fillId="0" borderId="0" xfId="2" applyNumberFormat="1" applyFont="1" applyBorder="1"/>
    <xf numFmtId="167" fontId="34" fillId="0" borderId="0" xfId="2" applyNumberFormat="1" applyFont="1" applyBorder="1"/>
    <xf numFmtId="167" fontId="33" fillId="0" borderId="0" xfId="0" applyNumberFormat="1" applyFont="1"/>
    <xf numFmtId="2" fontId="33" fillId="0" borderId="0" xfId="0" applyNumberFormat="1" applyFont="1"/>
    <xf numFmtId="167" fontId="58" fillId="0" borderId="0" xfId="2" applyNumberFormat="1" applyFont="1" applyBorder="1"/>
    <xf numFmtId="0" fontId="55" fillId="5" borderId="0" xfId="0" applyFont="1" applyFill="1" applyAlignment="1">
      <alignment horizontal="right"/>
    </xf>
    <xf numFmtId="169" fontId="55" fillId="0" borderId="6" xfId="1" applyNumberFormat="1" applyFont="1" applyBorder="1"/>
    <xf numFmtId="169" fontId="55" fillId="0" borderId="8" xfId="1" applyNumberFormat="1" applyFont="1" applyBorder="1"/>
    <xf numFmtId="0" fontId="55" fillId="0" borderId="19" xfId="0" applyFont="1" applyBorder="1"/>
    <xf numFmtId="182" fontId="55" fillId="0" borderId="17" xfId="1" applyNumberFormat="1" applyFont="1" applyBorder="1"/>
    <xf numFmtId="178" fontId="58" fillId="5" borderId="0" xfId="0" applyNumberFormat="1" applyFont="1" applyFill="1"/>
    <xf numFmtId="0" fontId="58" fillId="5" borderId="18" xfId="0" applyFont="1" applyFill="1" applyBorder="1"/>
    <xf numFmtId="182" fontId="58" fillId="5" borderId="21" xfId="1" applyNumberFormat="1" applyFont="1" applyFill="1" applyBorder="1"/>
    <xf numFmtId="0" fontId="58" fillId="5" borderId="20" xfId="0" applyFont="1" applyFill="1" applyBorder="1"/>
    <xf numFmtId="0" fontId="58" fillId="0" borderId="19" xfId="0" applyFont="1" applyBorder="1"/>
    <xf numFmtId="182" fontId="58" fillId="0" borderId="17" xfId="1" applyNumberFormat="1" applyFont="1" applyBorder="1"/>
    <xf numFmtId="0" fontId="55" fillId="0" borderId="19" xfId="0" applyFont="1" applyBorder="1" applyAlignment="1">
      <alignment horizontal="right"/>
    </xf>
    <xf numFmtId="0" fontId="55" fillId="0" borderId="22" xfId="0" applyFont="1" applyBorder="1"/>
    <xf numFmtId="182" fontId="55" fillId="0" borderId="23" xfId="1" applyNumberFormat="1" applyFont="1" applyBorder="1"/>
    <xf numFmtId="0" fontId="55" fillId="0" borderId="24" xfId="0" applyFont="1" applyBorder="1" applyAlignment="1">
      <alignment horizontal="right"/>
    </xf>
    <xf numFmtId="182" fontId="55" fillId="0" borderId="25" xfId="1" applyNumberFormat="1" applyFont="1" applyBorder="1"/>
    <xf numFmtId="167" fontId="61" fillId="0" borderId="3" xfId="2" applyNumberFormat="1" applyFont="1" applyBorder="1"/>
    <xf numFmtId="43" fontId="33" fillId="0" borderId="0" xfId="1" applyFont="1" applyBorder="1"/>
    <xf numFmtId="167" fontId="58" fillId="5" borderId="16" xfId="2" applyNumberFormat="1" applyFont="1" applyFill="1" applyBorder="1"/>
    <xf numFmtId="14" fontId="55" fillId="0" borderId="0" xfId="0" applyNumberFormat="1" applyFont="1"/>
    <xf numFmtId="173" fontId="40" fillId="0" borderId="0" xfId="1" applyNumberFormat="1" applyFont="1" applyBorder="1"/>
    <xf numFmtId="17" fontId="38" fillId="3" borderId="0" xfId="0" applyNumberFormat="1" applyFont="1" applyFill="1"/>
    <xf numFmtId="166" fontId="43" fillId="0" borderId="0" xfId="1" applyNumberFormat="1" applyFont="1" applyBorder="1"/>
    <xf numFmtId="167" fontId="40" fillId="0" borderId="0" xfId="2" applyNumberFormat="1" applyFont="1" applyBorder="1"/>
    <xf numFmtId="3" fontId="38" fillId="0" borderId="0" xfId="0" applyNumberFormat="1" applyFont="1"/>
    <xf numFmtId="9" fontId="40" fillId="0" borderId="0" xfId="2" applyFont="1" applyBorder="1"/>
    <xf numFmtId="3" fontId="43" fillId="0" borderId="0" xfId="0" applyNumberFormat="1" applyFont="1"/>
    <xf numFmtId="3" fontId="43" fillId="0" borderId="0" xfId="1" applyNumberFormat="1" applyFont="1" applyBorder="1"/>
    <xf numFmtId="167" fontId="38" fillId="0" borderId="0" xfId="2" applyNumberFormat="1" applyFont="1" applyBorder="1"/>
    <xf numFmtId="166" fontId="45" fillId="0" borderId="0" xfId="0" applyNumberFormat="1" applyFont="1"/>
    <xf numFmtId="2" fontId="40" fillId="0" borderId="0" xfId="0" applyNumberFormat="1" applyFont="1"/>
    <xf numFmtId="165" fontId="40" fillId="0" borderId="0" xfId="0" applyNumberFormat="1" applyFont="1"/>
    <xf numFmtId="170" fontId="38" fillId="0" borderId="0" xfId="1" applyNumberFormat="1" applyFont="1" applyBorder="1"/>
    <xf numFmtId="166" fontId="46" fillId="0" borderId="0" xfId="0" applyNumberFormat="1" applyFont="1"/>
    <xf numFmtId="3" fontId="40" fillId="0" borderId="0" xfId="1" applyNumberFormat="1" applyFont="1" applyBorder="1"/>
    <xf numFmtId="37" fontId="40" fillId="0" borderId="0" xfId="0" applyNumberFormat="1" applyFont="1"/>
    <xf numFmtId="171" fontId="40" fillId="0" borderId="0" xfId="0" applyNumberFormat="1" applyFont="1"/>
    <xf numFmtId="0" fontId="40" fillId="0" borderId="0" xfId="0" applyFont="1"/>
    <xf numFmtId="37" fontId="39" fillId="0" borderId="0" xfId="0" applyNumberFormat="1" applyFont="1"/>
    <xf numFmtId="3" fontId="48" fillId="0" borderId="0" xfId="0" applyNumberFormat="1" applyFont="1"/>
    <xf numFmtId="165" fontId="38" fillId="0" borderId="0" xfId="0" applyNumberFormat="1" applyFont="1"/>
    <xf numFmtId="3" fontId="40" fillId="0" borderId="0" xfId="0" applyNumberFormat="1" applyFont="1"/>
    <xf numFmtId="3" fontId="50" fillId="0" borderId="0" xfId="0" applyNumberFormat="1" applyFont="1"/>
    <xf numFmtId="3" fontId="60" fillId="0" borderId="0" xfId="0" applyNumberFormat="1" applyFont="1"/>
    <xf numFmtId="37" fontId="43" fillId="0" borderId="0" xfId="0" applyNumberFormat="1" applyFont="1"/>
    <xf numFmtId="37" fontId="46" fillId="0" borderId="0" xfId="0" applyNumberFormat="1" applyFont="1"/>
    <xf numFmtId="37" fontId="38" fillId="0" borderId="0" xfId="0" applyNumberFormat="1" applyFont="1"/>
    <xf numFmtId="3" fontId="51" fillId="0" borderId="0" xfId="0" applyNumberFormat="1" applyFont="1"/>
    <xf numFmtId="168" fontId="43" fillId="0" borderId="0" xfId="1" applyNumberFormat="1" applyFont="1" applyBorder="1"/>
    <xf numFmtId="4" fontId="40" fillId="0" borderId="0" xfId="2" applyNumberFormat="1" applyFont="1" applyBorder="1"/>
    <xf numFmtId="3" fontId="40" fillId="0" borderId="0" xfId="2" applyNumberFormat="1" applyFont="1" applyBorder="1"/>
    <xf numFmtId="167" fontId="40" fillId="0" borderId="0" xfId="0" applyNumberFormat="1" applyFont="1"/>
    <xf numFmtId="168" fontId="40" fillId="0" borderId="0" xfId="1" applyNumberFormat="1" applyFont="1" applyBorder="1"/>
    <xf numFmtId="3" fontId="59" fillId="4" borderId="0" xfId="0" applyNumberFormat="1" applyFont="1" applyFill="1"/>
    <xf numFmtId="167" fontId="40" fillId="4" borderId="0" xfId="2" applyNumberFormat="1" applyFont="1" applyFill="1" applyBorder="1"/>
    <xf numFmtId="3" fontId="38" fillId="4" borderId="0" xfId="0" applyNumberFormat="1" applyFont="1" applyFill="1"/>
    <xf numFmtId="166" fontId="59" fillId="4" borderId="0" xfId="1" applyNumberFormat="1" applyFont="1" applyFill="1" applyBorder="1"/>
    <xf numFmtId="9" fontId="40" fillId="4" borderId="0" xfId="2" applyFont="1" applyFill="1" applyBorder="1"/>
    <xf numFmtId="166" fontId="40" fillId="2" borderId="0" xfId="1" applyNumberFormat="1" applyFont="1" applyFill="1" applyBorder="1"/>
    <xf numFmtId="3" fontId="59" fillId="2" borderId="0" xfId="1" applyNumberFormat="1" applyFont="1" applyFill="1" applyBorder="1"/>
    <xf numFmtId="166" fontId="43" fillId="2" borderId="0" xfId="0" applyNumberFormat="1" applyFont="1" applyFill="1"/>
    <xf numFmtId="166" fontId="43" fillId="4" borderId="0" xfId="0" applyNumberFormat="1" applyFont="1" applyFill="1"/>
    <xf numFmtId="166" fontId="38" fillId="4" borderId="0" xfId="0" applyNumberFormat="1" applyFont="1" applyFill="1"/>
    <xf numFmtId="167" fontId="52" fillId="4" borderId="0" xfId="2" applyNumberFormat="1" applyFont="1" applyFill="1" applyBorder="1"/>
    <xf numFmtId="3" fontId="40" fillId="2" borderId="0" xfId="1" applyNumberFormat="1" applyFont="1" applyFill="1" applyBorder="1"/>
    <xf numFmtId="2" fontId="40" fillId="4" borderId="0" xfId="0" applyNumberFormat="1" applyFont="1" applyFill="1"/>
    <xf numFmtId="165" fontId="40" fillId="4" borderId="0" xfId="0" applyNumberFormat="1" applyFont="1" applyFill="1"/>
    <xf numFmtId="167" fontId="40" fillId="2" borderId="0" xfId="2" applyNumberFormat="1" applyFont="1" applyFill="1" applyBorder="1"/>
    <xf numFmtId="167" fontId="38" fillId="2" borderId="0" xfId="2" applyNumberFormat="1" applyFont="1" applyFill="1" applyBorder="1"/>
    <xf numFmtId="170" fontId="38" fillId="2" borderId="0" xfId="1" applyNumberFormat="1" applyFont="1" applyFill="1" applyBorder="1"/>
    <xf numFmtId="166" fontId="53" fillId="2" borderId="0" xfId="0" applyNumberFormat="1" applyFont="1" applyFill="1"/>
    <xf numFmtId="37" fontId="40" fillId="2" borderId="0" xfId="0" applyNumberFormat="1" applyFont="1" applyFill="1"/>
    <xf numFmtId="171" fontId="40" fillId="2" borderId="0" xfId="0" applyNumberFormat="1" applyFont="1" applyFill="1"/>
    <xf numFmtId="3" fontId="59" fillId="2" borderId="0" xfId="0" applyNumberFormat="1" applyFont="1" applyFill="1"/>
    <xf numFmtId="9" fontId="53" fillId="2" borderId="0" xfId="0" applyNumberFormat="1" applyFont="1" applyFill="1"/>
    <xf numFmtId="0" fontId="40" fillId="2" borderId="0" xfId="0" applyFont="1" applyFill="1"/>
    <xf numFmtId="167" fontId="53" fillId="4" borderId="0" xfId="2" applyNumberFormat="1" applyFont="1" applyFill="1" applyBorder="1"/>
    <xf numFmtId="165" fontId="38" fillId="4" borderId="0" xfId="0" applyNumberFormat="1" applyFont="1" applyFill="1"/>
    <xf numFmtId="3" fontId="40" fillId="2" borderId="0" xfId="0" applyNumberFormat="1" applyFont="1" applyFill="1"/>
    <xf numFmtId="3" fontId="53" fillId="4" borderId="0" xfId="0" applyNumberFormat="1" applyFont="1" applyFill="1"/>
    <xf numFmtId="3" fontId="40" fillId="4" borderId="0" xfId="0" applyNumberFormat="1" applyFont="1" applyFill="1"/>
    <xf numFmtId="0" fontId="40" fillId="4" borderId="0" xfId="0" applyFont="1" applyFill="1"/>
    <xf numFmtId="3" fontId="54" fillId="4" borderId="0" xfId="0" applyNumberFormat="1" applyFont="1" applyFill="1"/>
    <xf numFmtId="3" fontId="60" fillId="4" borderId="0" xfId="0" applyNumberFormat="1" applyFont="1" applyFill="1"/>
    <xf numFmtId="37" fontId="40" fillId="4" borderId="0" xfId="0" applyNumberFormat="1" applyFont="1" applyFill="1"/>
    <xf numFmtId="37" fontId="38" fillId="2" borderId="0" xfId="0" applyNumberFormat="1" applyFont="1" applyFill="1"/>
    <xf numFmtId="37" fontId="43" fillId="2" borderId="0" xfId="0" applyNumberFormat="1" applyFont="1" applyFill="1"/>
    <xf numFmtId="3" fontId="40" fillId="2" borderId="0" xfId="2" applyNumberFormat="1" applyFont="1" applyFill="1" applyBorder="1"/>
    <xf numFmtId="9" fontId="43" fillId="2" borderId="0" xfId="0" applyNumberFormat="1" applyFont="1" applyFill="1"/>
    <xf numFmtId="4" fontId="40" fillId="4" borderId="0" xfId="2" applyNumberFormat="1" applyFont="1" applyFill="1" applyBorder="1"/>
    <xf numFmtId="43" fontId="43" fillId="2" borderId="0" xfId="1" applyFont="1" applyFill="1" applyBorder="1"/>
    <xf numFmtId="3" fontId="59" fillId="2" borderId="0" xfId="2" applyNumberFormat="1" applyFont="1" applyFill="1" applyBorder="1"/>
    <xf numFmtId="3" fontId="52" fillId="2" borderId="0" xfId="2" applyNumberFormat="1" applyFont="1" applyFill="1" applyBorder="1"/>
    <xf numFmtId="167" fontId="52" fillId="2" borderId="0" xfId="0" applyNumberFormat="1" applyFont="1" applyFill="1"/>
    <xf numFmtId="168" fontId="40" fillId="4" borderId="0" xfId="1" applyNumberFormat="1" applyFont="1" applyFill="1" applyBorder="1"/>
    <xf numFmtId="167" fontId="38" fillId="4" borderId="0" xfId="2" applyNumberFormat="1" applyFont="1" applyFill="1" applyBorder="1"/>
    <xf numFmtId="0" fontId="38" fillId="0" borderId="0" xfId="0" applyFont="1"/>
    <xf numFmtId="173" fontId="39" fillId="0" borderId="0" xfId="1" applyNumberFormat="1" applyFont="1" applyBorder="1"/>
    <xf numFmtId="0" fontId="38" fillId="3" borderId="0" xfId="0" applyFont="1" applyFill="1"/>
    <xf numFmtId="0" fontId="42" fillId="0" borderId="0" xfId="0" applyFont="1" applyAlignment="1">
      <alignment horizontal="center"/>
    </xf>
    <xf numFmtId="3" fontId="40" fillId="0" borderId="0" xfId="0" applyNumberFormat="1" applyFont="1" applyAlignment="1">
      <alignment horizontal="center"/>
    </xf>
    <xf numFmtId="0" fontId="38" fillId="0" borderId="0" xfId="0" applyFont="1" applyAlignment="1">
      <alignment horizontal="center"/>
    </xf>
    <xf numFmtId="167" fontId="40" fillId="0" borderId="0" xfId="0" applyNumberFormat="1" applyFont="1" applyAlignment="1">
      <alignment horizontal="center"/>
    </xf>
    <xf numFmtId="0" fontId="41" fillId="0" borderId="0" xfId="0" applyFont="1" applyAlignment="1">
      <alignment horizontal="center"/>
    </xf>
    <xf numFmtId="166" fontId="40" fillId="0" borderId="0" xfId="1" applyNumberFormat="1" applyFont="1" applyBorder="1"/>
    <xf numFmtId="0" fontId="44" fillId="0" borderId="0" xfId="0" applyFont="1" applyAlignment="1">
      <alignment horizontal="center"/>
    </xf>
    <xf numFmtId="3" fontId="38" fillId="0" borderId="0" xfId="0" applyNumberFormat="1" applyFont="1" applyAlignment="1">
      <alignment horizontal="center"/>
    </xf>
    <xf numFmtId="166" fontId="43" fillId="5" borderId="0" xfId="1" applyNumberFormat="1" applyFont="1" applyFill="1" applyBorder="1"/>
    <xf numFmtId="9" fontId="40" fillId="0" borderId="0" xfId="0" applyNumberFormat="1" applyFont="1"/>
    <xf numFmtId="166" fontId="42" fillId="0" borderId="0" xfId="0" applyNumberFormat="1" applyFont="1" applyAlignment="1">
      <alignment horizontal="center"/>
    </xf>
    <xf numFmtId="0" fontId="40" fillId="0" borderId="0" xfId="0" applyFont="1" applyAlignment="1">
      <alignment horizontal="center"/>
    </xf>
    <xf numFmtId="166" fontId="40" fillId="2" borderId="0" xfId="0" applyNumberFormat="1" applyFont="1" applyFill="1"/>
    <xf numFmtId="3" fontId="45" fillId="0" borderId="0" xfId="0" applyNumberFormat="1" applyFont="1"/>
    <xf numFmtId="3" fontId="49" fillId="0" borderId="0" xfId="0" applyNumberFormat="1" applyFont="1"/>
    <xf numFmtId="3" fontId="40" fillId="5" borderId="0" xfId="0" applyNumberFormat="1" applyFont="1" applyFill="1"/>
    <xf numFmtId="3" fontId="50" fillId="5" borderId="0" xfId="0" applyNumberFormat="1" applyFont="1" applyFill="1"/>
    <xf numFmtId="0" fontId="60" fillId="0" borderId="0" xfId="0" applyFont="1"/>
    <xf numFmtId="37" fontId="43" fillId="0" borderId="0" xfId="1" applyNumberFormat="1" applyFont="1" applyBorder="1"/>
    <xf numFmtId="37" fontId="54" fillId="2" borderId="0" xfId="0" applyNumberFormat="1" applyFont="1" applyFill="1"/>
    <xf numFmtId="37" fontId="50" fillId="0" borderId="0" xfId="0" applyNumberFormat="1" applyFont="1"/>
    <xf numFmtId="37" fontId="62" fillId="4" borderId="0" xfId="0" applyNumberFormat="1" applyFont="1" applyFill="1"/>
    <xf numFmtId="0" fontId="58" fillId="0" borderId="2" xfId="0" applyFont="1" applyBorder="1" applyAlignment="1">
      <alignment horizontal="right"/>
    </xf>
    <xf numFmtId="0" fontId="55" fillId="0" borderId="2" xfId="0" applyFont="1" applyBorder="1" applyAlignment="1">
      <alignment horizontal="right"/>
    </xf>
    <xf numFmtId="0" fontId="32" fillId="0" borderId="2" xfId="0" applyFont="1" applyBorder="1" applyAlignment="1">
      <alignment horizontal="right"/>
    </xf>
    <xf numFmtId="0" fontId="32" fillId="0" borderId="4" xfId="0" applyFont="1" applyBorder="1" applyAlignment="1">
      <alignment horizontal="right"/>
    </xf>
    <xf numFmtId="0" fontId="55" fillId="0" borderId="2" xfId="0" applyFont="1" applyBorder="1"/>
    <xf numFmtId="0" fontId="58" fillId="0" borderId="26" xfId="0" applyFont="1" applyBorder="1"/>
    <xf numFmtId="182" fontId="58" fillId="5" borderId="0" xfId="1" applyNumberFormat="1" applyFont="1" applyFill="1"/>
    <xf numFmtId="167" fontId="0" fillId="0" borderId="5" xfId="2" applyNumberFormat="1" applyFont="1" applyBorder="1"/>
    <xf numFmtId="0" fontId="0" fillId="0" borderId="5" xfId="0" applyBorder="1"/>
    <xf numFmtId="0" fontId="15" fillId="0" borderId="3" xfId="0" applyFont="1" applyBorder="1"/>
    <xf numFmtId="0" fontId="15" fillId="0" borderId="10" xfId="0" applyFont="1" applyBorder="1" applyAlignment="1">
      <alignment horizontal="right"/>
    </xf>
    <xf numFmtId="0" fontId="15" fillId="0" borderId="3" xfId="0" applyFont="1" applyBorder="1" applyAlignment="1">
      <alignment horizontal="right"/>
    </xf>
    <xf numFmtId="166" fontId="52" fillId="4" borderId="0" xfId="0" applyNumberFormat="1" applyFont="1" applyFill="1"/>
    <xf numFmtId="0" fontId="55" fillId="0" borderId="9" xfId="0" applyFont="1" applyBorder="1"/>
    <xf numFmtId="182" fontId="58" fillId="0" borderId="6" xfId="1" applyNumberFormat="1" applyFont="1" applyBorder="1"/>
    <xf numFmtId="182" fontId="58" fillId="0" borderId="8" xfId="1" applyNumberFormat="1" applyFont="1" applyBorder="1"/>
    <xf numFmtId="167" fontId="53" fillId="2" borderId="0" xfId="0" applyNumberFormat="1" applyFont="1" applyFill="1"/>
    <xf numFmtId="10" fontId="12" fillId="4" borderId="0" xfId="2" applyNumberFormat="1" applyFont="1" applyFill="1" applyAlignment="1">
      <alignment horizontal="center" vertical="center"/>
    </xf>
    <xf numFmtId="10" fontId="20" fillId="11" borderId="0" xfId="5" applyNumberFormat="1" applyFont="1" applyFill="1" applyAlignment="1">
      <alignment horizontal="center" vertical="center"/>
    </xf>
    <xf numFmtId="39" fontId="38" fillId="0" borderId="0" xfId="0" applyNumberFormat="1" applyFont="1"/>
    <xf numFmtId="9" fontId="53" fillId="0" borderId="0" xfId="2" applyFont="1" applyBorder="1"/>
    <xf numFmtId="0" fontId="38" fillId="6" borderId="0" xfId="0" applyFont="1" applyFill="1"/>
    <xf numFmtId="37" fontId="38" fillId="6" borderId="0" xfId="0" applyNumberFormat="1" applyFont="1" applyFill="1"/>
    <xf numFmtId="0" fontId="40" fillId="6" borderId="0" xfId="0" applyFont="1" applyFill="1"/>
    <xf numFmtId="37" fontId="45" fillId="6" borderId="0" xfId="0" applyNumberFormat="1" applyFont="1" applyFill="1"/>
    <xf numFmtId="37" fontId="40" fillId="6" borderId="0" xfId="0" applyNumberFormat="1" applyFont="1" applyFill="1"/>
    <xf numFmtId="0" fontId="38" fillId="17" borderId="0" xfId="0" applyFont="1" applyFill="1"/>
    <xf numFmtId="37" fontId="38" fillId="17" borderId="0" xfId="0" applyNumberFormat="1" applyFont="1" applyFill="1"/>
    <xf numFmtId="3" fontId="62" fillId="17" borderId="0" xfId="0" applyNumberFormat="1" applyFont="1" applyFill="1"/>
    <xf numFmtId="174" fontId="40" fillId="0" borderId="0" xfId="0" applyNumberFormat="1" applyFont="1"/>
    <xf numFmtId="3" fontId="53" fillId="0" borderId="0" xfId="2" applyNumberFormat="1" applyFont="1" applyFill="1" applyBorder="1"/>
    <xf numFmtId="3" fontId="40" fillId="0" borderId="0" xfId="2" applyNumberFormat="1" applyFont="1" applyFill="1" applyBorder="1"/>
    <xf numFmtId="166" fontId="40" fillId="0" borderId="0" xfId="0" applyNumberFormat="1" applyFont="1"/>
    <xf numFmtId="3" fontId="43" fillId="2" borderId="0" xfId="2" applyNumberFormat="1" applyFont="1" applyFill="1" applyBorder="1"/>
    <xf numFmtId="3" fontId="38" fillId="2" borderId="0" xfId="2" applyNumberFormat="1" applyFont="1" applyFill="1" applyBorder="1"/>
    <xf numFmtId="9" fontId="38" fillId="0" borderId="0" xfId="2" applyFont="1"/>
    <xf numFmtId="167" fontId="38" fillId="0" borderId="0" xfId="2" applyNumberFormat="1" applyFont="1"/>
    <xf numFmtId="43" fontId="38" fillId="0" borderId="0" xfId="1" applyFont="1"/>
    <xf numFmtId="169" fontId="38" fillId="0" borderId="0" xfId="1" applyNumberFormat="1" applyFont="1"/>
    <xf numFmtId="0" fontId="63" fillId="0" borderId="0" xfId="0" applyFont="1"/>
    <xf numFmtId="167" fontId="63" fillId="0" borderId="0" xfId="2" applyNumberFormat="1" applyFont="1" applyBorder="1"/>
    <xf numFmtId="167" fontId="63" fillId="2" borderId="0" xfId="2" applyNumberFormat="1" applyFont="1" applyFill="1" applyBorder="1"/>
    <xf numFmtId="0" fontId="64" fillId="0" borderId="0" xfId="0" applyFont="1"/>
    <xf numFmtId="167" fontId="64" fillId="0" borderId="0" xfId="2" applyNumberFormat="1" applyFont="1" applyBorder="1"/>
    <xf numFmtId="167" fontId="64" fillId="2" borderId="0" xfId="2" applyNumberFormat="1" applyFont="1" applyFill="1" applyBorder="1"/>
    <xf numFmtId="167" fontId="63" fillId="0" borderId="0" xfId="0" applyNumberFormat="1" applyFont="1"/>
    <xf numFmtId="167" fontId="63" fillId="2" borderId="0" xfId="0" applyNumberFormat="1" applyFont="1" applyFill="1"/>
    <xf numFmtId="0" fontId="66" fillId="0" borderId="0" xfId="0" applyFont="1"/>
    <xf numFmtId="0" fontId="0" fillId="0" borderId="27" xfId="0" applyBorder="1"/>
    <xf numFmtId="0" fontId="65" fillId="0" borderId="3" xfId="0" applyFont="1" applyBorder="1" applyAlignment="1">
      <alignment horizontal="right"/>
    </xf>
    <xf numFmtId="167" fontId="66" fillId="0" borderId="0" xfId="2" applyNumberFormat="1" applyFont="1" applyBorder="1"/>
    <xf numFmtId="0" fontId="15" fillId="0" borderId="29" xfId="0" applyFont="1" applyBorder="1" applyAlignment="1">
      <alignment horizontal="right"/>
    </xf>
    <xf numFmtId="3" fontId="0" fillId="0" borderId="28" xfId="0" applyNumberFormat="1" applyBorder="1"/>
    <xf numFmtId="167" fontId="0" fillId="0" borderId="28" xfId="2" applyNumberFormat="1" applyFont="1" applyBorder="1"/>
    <xf numFmtId="0" fontId="0" fillId="0" borderId="28" xfId="0" applyBorder="1"/>
    <xf numFmtId="169" fontId="0" fillId="0" borderId="28" xfId="1" applyNumberFormat="1" applyFont="1" applyBorder="1"/>
    <xf numFmtId="3" fontId="67" fillId="0" borderId="5" xfId="0" applyNumberFormat="1" applyFont="1" applyBorder="1"/>
    <xf numFmtId="3" fontId="67" fillId="0" borderId="0" xfId="0" applyNumberFormat="1" applyFont="1"/>
    <xf numFmtId="169" fontId="67" fillId="0" borderId="5" xfId="1" applyNumberFormat="1" applyFont="1" applyBorder="1"/>
    <xf numFmtId="169" fontId="67" fillId="0" borderId="0" xfId="1" applyNumberFormat="1" applyFont="1"/>
    <xf numFmtId="167" fontId="67" fillId="0" borderId="0" xfId="2" applyNumberFormat="1" applyFont="1"/>
    <xf numFmtId="176" fontId="68" fillId="0" borderId="0" xfId="0" applyNumberFormat="1" applyFont="1" applyAlignment="1">
      <alignment horizontal="right"/>
    </xf>
    <xf numFmtId="3" fontId="69" fillId="0" borderId="0" xfId="6" applyNumberFormat="1" applyFont="1" applyAlignment="1">
      <alignment horizontal="center" vertical="center"/>
    </xf>
    <xf numFmtId="3" fontId="69" fillId="0" borderId="17" xfId="6" applyNumberFormat="1" applyFont="1" applyBorder="1" applyAlignment="1">
      <alignment horizontal="center" vertical="center"/>
    </xf>
    <xf numFmtId="181" fontId="6" fillId="14" borderId="0" xfId="0" applyNumberFormat="1" applyFont="1" applyFill="1" applyAlignment="1">
      <alignment horizontal="right"/>
    </xf>
    <xf numFmtId="181" fontId="6" fillId="13" borderId="0" xfId="0" applyNumberFormat="1" applyFont="1" applyFill="1" applyAlignment="1">
      <alignment horizontal="right"/>
    </xf>
    <xf numFmtId="179" fontId="6" fillId="14" borderId="0" xfId="0" applyNumberFormat="1" applyFont="1" applyFill="1" applyAlignment="1">
      <alignment horizontal="right"/>
    </xf>
    <xf numFmtId="179" fontId="6" fillId="13" borderId="0" xfId="0" applyNumberFormat="1" applyFont="1" applyFill="1" applyAlignment="1">
      <alignment horizontal="right"/>
    </xf>
    <xf numFmtId="167" fontId="47" fillId="0" borderId="0" xfId="0" applyNumberFormat="1" applyFont="1"/>
    <xf numFmtId="167" fontId="47" fillId="0" borderId="0" xfId="2" applyNumberFormat="1" applyFont="1" applyBorder="1"/>
    <xf numFmtId="37" fontId="70" fillId="0" borderId="0" xfId="0" applyNumberFormat="1" applyFont="1"/>
    <xf numFmtId="37" fontId="49" fillId="6" borderId="0" xfId="0" applyNumberFormat="1" applyFont="1" applyFill="1"/>
    <xf numFmtId="14" fontId="68" fillId="0" borderId="0" xfId="0" applyNumberFormat="1" applyFont="1" applyAlignment="1">
      <alignment horizontal="right"/>
    </xf>
    <xf numFmtId="2" fontId="68" fillId="0" borderId="0" xfId="0" applyNumberFormat="1" applyFont="1" applyAlignment="1">
      <alignment horizontal="right"/>
    </xf>
    <xf numFmtId="167" fontId="60" fillId="0" borderId="0" xfId="2" applyNumberFormat="1" applyFont="1" applyAlignment="1">
      <alignment horizontal="center"/>
    </xf>
    <xf numFmtId="3" fontId="62" fillId="4" borderId="0" xfId="0" applyNumberFormat="1" applyFont="1" applyFill="1"/>
    <xf numFmtId="0" fontId="29" fillId="3" borderId="1" xfId="0" applyFont="1" applyFill="1" applyBorder="1"/>
    <xf numFmtId="17" fontId="29" fillId="3" borderId="0" xfId="0" applyNumberFormat="1" applyFont="1" applyFill="1"/>
    <xf numFmtId="17" fontId="29" fillId="3" borderId="1" xfId="0" applyNumberFormat="1" applyFont="1" applyFill="1" applyBorder="1"/>
    <xf numFmtId="0" fontId="71" fillId="0" borderId="0" xfId="0" applyFont="1"/>
    <xf numFmtId="165" fontId="72" fillId="0" borderId="0" xfId="0" applyNumberFormat="1" applyFont="1"/>
    <xf numFmtId="165" fontId="71" fillId="0" borderId="0" xfId="0" applyNumberFormat="1" applyFont="1"/>
    <xf numFmtId="165" fontId="71" fillId="4" borderId="0" xfId="0" applyNumberFormat="1" applyFont="1" applyFill="1"/>
    <xf numFmtId="166" fontId="73" fillId="0" borderId="0" xfId="0" applyNumberFormat="1" applyFont="1"/>
    <xf numFmtId="166" fontId="71" fillId="0" borderId="0" xfId="0" applyNumberFormat="1" applyFont="1"/>
    <xf numFmtId="166" fontId="71" fillId="4" borderId="0" xfId="0" applyNumberFormat="1" applyFont="1" applyFill="1"/>
    <xf numFmtId="3" fontId="71" fillId="0" borderId="0" xfId="0" applyNumberFormat="1" applyFont="1"/>
    <xf numFmtId="167" fontId="71" fillId="0" borderId="0" xfId="2" applyNumberFormat="1" applyFont="1" applyBorder="1"/>
    <xf numFmtId="167" fontId="71" fillId="4" borderId="0" xfId="2" applyNumberFormat="1" applyFont="1" applyFill="1"/>
    <xf numFmtId="9" fontId="71" fillId="0" borderId="0" xfId="2" applyFont="1"/>
    <xf numFmtId="9" fontId="71" fillId="4" borderId="0" xfId="2" applyFont="1" applyFill="1"/>
    <xf numFmtId="167" fontId="73" fillId="4" borderId="0" xfId="2" applyNumberFormat="1" applyFont="1" applyFill="1"/>
    <xf numFmtId="167" fontId="72" fillId="0" borderId="0" xfId="2" applyNumberFormat="1" applyFont="1" applyBorder="1"/>
    <xf numFmtId="167" fontId="72" fillId="0" borderId="0" xfId="2" applyNumberFormat="1" applyFont="1"/>
    <xf numFmtId="167" fontId="71" fillId="0" borderId="0" xfId="2" applyNumberFormat="1" applyFont="1"/>
    <xf numFmtId="0" fontId="29" fillId="3" borderId="9" xfId="0" applyFont="1" applyFill="1" applyBorder="1"/>
    <xf numFmtId="17" fontId="29" fillId="3" borderId="6" xfId="0" applyNumberFormat="1" applyFont="1" applyFill="1" applyBorder="1"/>
    <xf numFmtId="0" fontId="71" fillId="0" borderId="6" xfId="0" applyFont="1" applyBorder="1"/>
    <xf numFmtId="169" fontId="71" fillId="0" borderId="0" xfId="1" applyNumberFormat="1" applyFont="1" applyBorder="1"/>
    <xf numFmtId="169" fontId="71" fillId="4" borderId="0" xfId="1" applyNumberFormat="1" applyFont="1" applyFill="1"/>
    <xf numFmtId="0" fontId="71" fillId="4" borderId="0" xfId="0" applyFont="1" applyFill="1"/>
    <xf numFmtId="3" fontId="72" fillId="0" borderId="0" xfId="0" applyNumberFormat="1" applyFont="1"/>
    <xf numFmtId="0" fontId="29" fillId="0" borderId="9" xfId="0" applyFont="1" applyBorder="1"/>
    <xf numFmtId="3" fontId="29" fillId="0" borderId="6" xfId="0" applyNumberFormat="1" applyFont="1" applyBorder="1"/>
    <xf numFmtId="3" fontId="74" fillId="4" borderId="6" xfId="0" applyNumberFormat="1" applyFont="1" applyFill="1" applyBorder="1"/>
    <xf numFmtId="0" fontId="29" fillId="0" borderId="6" xfId="0" applyFont="1" applyBorder="1"/>
    <xf numFmtId="166" fontId="29" fillId="0" borderId="6" xfId="0" applyNumberFormat="1" applyFont="1" applyBorder="1"/>
    <xf numFmtId="166" fontId="74" fillId="4" borderId="6" xfId="0" applyNumberFormat="1" applyFont="1" applyFill="1" applyBorder="1"/>
    <xf numFmtId="167" fontId="71" fillId="0" borderId="0" xfId="0" applyNumberFormat="1" applyFont="1"/>
    <xf numFmtId="167" fontId="75" fillId="4" borderId="0" xfId="2" applyNumberFormat="1" applyFont="1" applyFill="1"/>
    <xf numFmtId="9" fontId="71" fillId="0" borderId="0" xfId="2" applyFont="1" applyBorder="1"/>
    <xf numFmtId="3" fontId="76" fillId="0" borderId="0" xfId="0" applyNumberFormat="1" applyFont="1"/>
    <xf numFmtId="0" fontId="71" fillId="0" borderId="0" xfId="0" applyFont="1" applyAlignment="1">
      <alignment horizontal="right"/>
    </xf>
    <xf numFmtId="167" fontId="76" fillId="4" borderId="0" xfId="2" applyNumberFormat="1" applyFont="1" applyFill="1"/>
    <xf numFmtId="10" fontId="71" fillId="0" borderId="0" xfId="2" applyNumberFormat="1" applyFont="1" applyBorder="1"/>
    <xf numFmtId="167" fontId="71" fillId="4" borderId="0" xfId="2" applyNumberFormat="1" applyFont="1" applyFill="1" applyBorder="1"/>
    <xf numFmtId="169" fontId="29" fillId="0" borderId="0" xfId="1" applyNumberFormat="1" applyFont="1"/>
    <xf numFmtId="169" fontId="29" fillId="0" borderId="0" xfId="1" applyNumberFormat="1" applyFont="1" applyBorder="1"/>
    <xf numFmtId="169" fontId="74" fillId="4" borderId="0" xfId="1" applyNumberFormat="1" applyFont="1" applyFill="1"/>
    <xf numFmtId="167" fontId="29" fillId="0" borderId="0" xfId="2" applyNumberFormat="1" applyFont="1"/>
    <xf numFmtId="167" fontId="29" fillId="0" borderId="0" xfId="2" applyNumberFormat="1" applyFont="1" applyBorder="1"/>
    <xf numFmtId="167" fontId="77" fillId="0" borderId="0" xfId="2" applyNumberFormat="1" applyFont="1"/>
    <xf numFmtId="0" fontId="29" fillId="0" borderId="7" xfId="0" applyFont="1" applyBorder="1"/>
    <xf numFmtId="3" fontId="71" fillId="0" borderId="7" xfId="0" applyNumberFormat="1" applyFont="1" applyBorder="1"/>
    <xf numFmtId="167" fontId="71" fillId="0" borderId="7" xfId="2" applyNumberFormat="1" applyFont="1" applyBorder="1"/>
    <xf numFmtId="169" fontId="29" fillId="0" borderId="7" xfId="1" applyNumberFormat="1" applyFont="1" applyBorder="1"/>
    <xf numFmtId="0" fontId="71" fillId="0" borderId="7" xfId="0" applyFont="1" applyBorder="1"/>
    <xf numFmtId="167" fontId="71" fillId="0" borderId="7" xfId="0" applyNumberFormat="1" applyFont="1" applyBorder="1"/>
    <xf numFmtId="0" fontId="78" fillId="15" borderId="0" xfId="0" applyFont="1" applyFill="1"/>
    <xf numFmtId="3" fontId="78" fillId="15" borderId="0" xfId="0" applyNumberFormat="1" applyFont="1" applyFill="1"/>
    <xf numFmtId="167" fontId="78" fillId="15" borderId="0" xfId="2" applyNumberFormat="1" applyFont="1" applyFill="1" applyBorder="1"/>
    <xf numFmtId="167" fontId="79" fillId="15" borderId="0" xfId="2" applyNumberFormat="1" applyFont="1" applyFill="1" applyBorder="1"/>
    <xf numFmtId="167" fontId="77" fillId="15" borderId="0" xfId="2" applyNumberFormat="1" applyFont="1" applyFill="1"/>
    <xf numFmtId="167" fontId="79" fillId="15" borderId="0" xfId="2" applyNumberFormat="1" applyFont="1" applyFill="1"/>
    <xf numFmtId="167" fontId="78" fillId="15" borderId="0" xfId="0" applyNumberFormat="1" applyFont="1" applyFill="1"/>
    <xf numFmtId="0" fontId="29" fillId="0" borderId="0" xfId="0" applyFont="1"/>
    <xf numFmtId="167" fontId="80" fillId="0" borderId="0" xfId="2" applyNumberFormat="1" applyFont="1" applyFill="1" applyBorder="1" applyAlignment="1">
      <alignment horizontal="right"/>
    </xf>
    <xf numFmtId="9" fontId="81" fillId="0" borderId="0" xfId="1" applyNumberFormat="1" applyFont="1" applyFill="1" applyAlignment="1">
      <alignment horizontal="right"/>
    </xf>
    <xf numFmtId="9" fontId="76" fillId="0" borderId="0" xfId="2" applyFont="1" applyBorder="1"/>
    <xf numFmtId="9" fontId="76" fillId="0" borderId="0" xfId="2" applyFont="1"/>
    <xf numFmtId="167" fontId="29" fillId="0" borderId="11" xfId="2" applyNumberFormat="1" applyFont="1" applyBorder="1"/>
    <xf numFmtId="167" fontId="29" fillId="0" borderId="7" xfId="2" applyNumberFormat="1" applyFont="1" applyBorder="1"/>
    <xf numFmtId="167" fontId="71" fillId="0" borderId="10" xfId="2" applyNumberFormat="1" applyFont="1" applyBorder="1"/>
    <xf numFmtId="167" fontId="71" fillId="0" borderId="3" xfId="2" applyNumberFormat="1" applyFont="1" applyBorder="1"/>
    <xf numFmtId="167" fontId="76" fillId="4" borderId="3" xfId="2" applyNumberFormat="1" applyFont="1" applyFill="1" applyBorder="1"/>
    <xf numFmtId="0" fontId="29" fillId="15" borderId="0" xfId="0" applyFont="1" applyFill="1" applyAlignment="1">
      <alignment horizontal="right"/>
    </xf>
    <xf numFmtId="2" fontId="29" fillId="15" borderId="0" xfId="0" applyNumberFormat="1" applyFont="1" applyFill="1"/>
    <xf numFmtId="2" fontId="82" fillId="15" borderId="0" xfId="0" applyNumberFormat="1" applyFont="1" applyFill="1"/>
    <xf numFmtId="0" fontId="29" fillId="15" borderId="0" xfId="0" applyFont="1" applyFill="1"/>
    <xf numFmtId="166" fontId="82" fillId="15" borderId="0" xfId="0" applyNumberFormat="1" applyFont="1" applyFill="1"/>
    <xf numFmtId="167" fontId="71" fillId="15" borderId="0" xfId="0" applyNumberFormat="1" applyFont="1" applyFill="1" applyAlignment="1">
      <alignment horizontal="right"/>
    </xf>
    <xf numFmtId="167" fontId="71" fillId="15" borderId="0" xfId="0" applyNumberFormat="1" applyFont="1" applyFill="1"/>
    <xf numFmtId="167" fontId="71" fillId="15" borderId="0" xfId="2" applyNumberFormat="1" applyFont="1" applyFill="1" applyBorder="1"/>
    <xf numFmtId="167" fontId="71" fillId="15" borderId="0" xfId="2" applyNumberFormat="1" applyFont="1" applyFill="1"/>
    <xf numFmtId="166" fontId="29" fillId="15" borderId="0" xfId="0" applyNumberFormat="1" applyFont="1" applyFill="1"/>
    <xf numFmtId="166" fontId="29" fillId="5" borderId="0" xfId="0" applyNumberFormat="1" applyFont="1" applyFill="1"/>
    <xf numFmtId="0" fontId="71" fillId="15" borderId="0" xfId="0" applyFont="1" applyFill="1" applyAlignment="1">
      <alignment horizontal="right"/>
    </xf>
    <xf numFmtId="0" fontId="71" fillId="15" borderId="0" xfId="0" applyFont="1" applyFill="1"/>
    <xf numFmtId="165" fontId="29" fillId="15" borderId="0" xfId="0" applyNumberFormat="1" applyFont="1" applyFill="1"/>
    <xf numFmtId="165" fontId="83" fillId="15" borderId="0" xfId="0" applyNumberFormat="1" applyFont="1" applyFill="1"/>
    <xf numFmtId="9" fontId="71" fillId="15" borderId="0" xfId="2" applyFont="1" applyFill="1" applyBorder="1"/>
    <xf numFmtId="9" fontId="71" fillId="15" borderId="0" xfId="2" applyFont="1" applyFill="1"/>
    <xf numFmtId="9" fontId="29" fillId="15" borderId="0" xfId="2" applyFont="1" applyFill="1" applyBorder="1"/>
    <xf numFmtId="9" fontId="29" fillId="15" borderId="0" xfId="2" applyFont="1" applyFill="1"/>
    <xf numFmtId="9" fontId="29" fillId="0" borderId="0" xfId="2" applyFont="1" applyBorder="1"/>
    <xf numFmtId="9" fontId="29" fillId="0" borderId="0" xfId="2" applyFont="1"/>
    <xf numFmtId="9" fontId="29" fillId="4" borderId="0" xfId="2" applyFont="1" applyFill="1"/>
    <xf numFmtId="3" fontId="29" fillId="0" borderId="11" xfId="0" applyNumberFormat="1" applyFont="1" applyBorder="1"/>
    <xf numFmtId="3" fontId="29" fillId="0" borderId="7" xfId="0" applyNumberFormat="1" applyFont="1" applyBorder="1"/>
    <xf numFmtId="3" fontId="29" fillId="4" borderId="7" xfId="0" applyNumberFormat="1" applyFont="1" applyFill="1" applyBorder="1"/>
    <xf numFmtId="3" fontId="74" fillId="4" borderId="7" xfId="0" applyNumberFormat="1" applyFont="1" applyFill="1" applyBorder="1"/>
    <xf numFmtId="0" fontId="29" fillId="0" borderId="5" xfId="0" applyFont="1" applyBorder="1"/>
    <xf numFmtId="167" fontId="29" fillId="0" borderId="0" xfId="0" applyNumberFormat="1" applyFont="1"/>
    <xf numFmtId="167" fontId="29" fillId="4" borderId="0" xfId="0" applyNumberFormat="1" applyFont="1" applyFill="1"/>
    <xf numFmtId="167" fontId="74" fillId="4" borderId="0" xfId="0" applyNumberFormat="1" applyFont="1" applyFill="1"/>
    <xf numFmtId="0" fontId="79" fillId="0" borderId="10" xfId="0" applyFont="1" applyBorder="1"/>
    <xf numFmtId="167" fontId="79" fillId="0" borderId="3" xfId="0" applyNumberFormat="1" applyFont="1" applyBorder="1"/>
    <xf numFmtId="167" fontId="79" fillId="4" borderId="3" xfId="0" applyNumberFormat="1" applyFont="1" applyFill="1" applyBorder="1"/>
    <xf numFmtId="0" fontId="79" fillId="0" borderId="3" xfId="0" applyFont="1" applyBorder="1"/>
    <xf numFmtId="3" fontId="29" fillId="0" borderId="0" xfId="0" applyNumberFormat="1" applyFont="1"/>
    <xf numFmtId="166" fontId="29" fillId="4" borderId="0" xfId="1" applyNumberFormat="1" applyFont="1" applyFill="1"/>
    <xf numFmtId="166" fontId="29" fillId="0" borderId="0" xfId="0" applyNumberFormat="1" applyFont="1"/>
    <xf numFmtId="167" fontId="76" fillId="0" borderId="0" xfId="0" applyNumberFormat="1" applyFont="1"/>
    <xf numFmtId="43" fontId="71" fillId="0" borderId="0" xfId="1" applyFont="1"/>
    <xf numFmtId="43" fontId="71" fillId="0" borderId="0" xfId="2" applyNumberFormat="1" applyFont="1"/>
    <xf numFmtId="167" fontId="29" fillId="4" borderId="0" xfId="2" applyNumberFormat="1" applyFont="1" applyFill="1"/>
    <xf numFmtId="37" fontId="71" fillId="0" borderId="0" xfId="0" applyNumberFormat="1" applyFont="1"/>
    <xf numFmtId="166" fontId="73" fillId="4" borderId="0" xfId="0" applyNumberFormat="1" applyFont="1" applyFill="1"/>
    <xf numFmtId="167" fontId="71" fillId="0" borderId="0" xfId="2" applyNumberFormat="1" applyFont="1" applyBorder="1" applyAlignment="1">
      <alignment horizontal="center" vertical="center"/>
    </xf>
    <xf numFmtId="0" fontId="71" fillId="0" borderId="0" xfId="0" applyFont="1" applyAlignment="1">
      <alignment horizontal="center" vertical="center"/>
    </xf>
    <xf numFmtId="166" fontId="71" fillId="0" borderId="0" xfId="2" applyNumberFormat="1" applyFont="1" applyBorder="1" applyAlignment="1">
      <alignment horizontal="center" vertical="center"/>
    </xf>
    <xf numFmtId="166" fontId="71" fillId="0" borderId="0" xfId="0" applyNumberFormat="1" applyFont="1" applyAlignment="1">
      <alignment horizontal="center" vertical="center"/>
    </xf>
    <xf numFmtId="167" fontId="71" fillId="0" borderId="0" xfId="2" applyNumberFormat="1" applyFont="1" applyAlignment="1">
      <alignment horizontal="center" vertical="center"/>
    </xf>
    <xf numFmtId="0" fontId="29" fillId="0" borderId="0" xfId="0" applyFont="1" applyAlignment="1">
      <alignment horizontal="right"/>
    </xf>
    <xf numFmtId="16" fontId="71" fillId="0" borderId="0" xfId="0" applyNumberFormat="1" applyFont="1"/>
    <xf numFmtId="0" fontId="12" fillId="7" borderId="0" xfId="2" applyNumberFormat="1" applyFont="1" applyFill="1" applyBorder="1" applyAlignment="1">
      <alignment horizontal="center" vertical="center"/>
    </xf>
    <xf numFmtId="0" fontId="12" fillId="7" borderId="0" xfId="0" applyFont="1" applyFill="1" applyAlignment="1">
      <alignment horizontal="center" vertical="center"/>
    </xf>
    <xf numFmtId="176" fontId="12" fillId="7" borderId="0" xfId="2" applyNumberFormat="1" applyFont="1" applyFill="1" applyBorder="1" applyAlignment="1">
      <alignment horizontal="center" vertical="center"/>
    </xf>
    <xf numFmtId="2" fontId="17" fillId="8" borderId="0" xfId="9" applyNumberFormat="1" applyFont="1" applyFill="1" applyBorder="1" applyAlignment="1">
      <alignment horizontal="center" vertical="center"/>
    </xf>
    <xf numFmtId="4" fontId="17" fillId="8" borderId="0" xfId="9" applyNumberFormat="1" applyFont="1" applyFill="1" applyBorder="1" applyAlignment="1">
      <alignment horizontal="center" vertical="center"/>
    </xf>
    <xf numFmtId="2" fontId="18" fillId="4" borderId="0" xfId="9" applyNumberFormat="1" applyFont="1" applyFill="1" applyBorder="1" applyAlignment="1">
      <alignment horizontal="center" vertical="center"/>
    </xf>
    <xf numFmtId="2" fontId="17" fillId="0" borderId="0" xfId="0" applyNumberFormat="1" applyFont="1" applyAlignment="1">
      <alignment horizontal="center" vertical="center"/>
    </xf>
    <xf numFmtId="166" fontId="17" fillId="8" borderId="0" xfId="9" applyNumberFormat="1" applyFont="1" applyFill="1" applyBorder="1" applyAlignment="1">
      <alignment horizontal="center" vertical="center"/>
    </xf>
    <xf numFmtId="166" fontId="18" fillId="4" borderId="0" xfId="9" applyNumberFormat="1" applyFont="1" applyFill="1" applyBorder="1" applyAlignment="1">
      <alignment horizontal="center" vertical="center"/>
    </xf>
    <xf numFmtId="166" fontId="17" fillId="0" borderId="0" xfId="0" applyNumberFormat="1" applyFont="1" applyAlignment="1">
      <alignment horizontal="center" vertical="center"/>
    </xf>
    <xf numFmtId="167" fontId="17" fillId="8" borderId="0" xfId="2" applyNumberFormat="1" applyFont="1" applyFill="1" applyBorder="1" applyAlignment="1">
      <alignment horizontal="center" vertical="center"/>
    </xf>
    <xf numFmtId="166" fontId="17" fillId="8" borderId="0" xfId="2" applyNumberFormat="1" applyFont="1" applyFill="1" applyBorder="1" applyAlignment="1">
      <alignment horizontal="center" vertical="center"/>
    </xf>
    <xf numFmtId="9" fontId="17" fillId="8" borderId="0" xfId="2" applyFont="1" applyFill="1" applyBorder="1" applyAlignment="1">
      <alignment horizontal="center" vertical="center"/>
    </xf>
    <xf numFmtId="10" fontId="17" fillId="8" borderId="0" xfId="2" applyNumberFormat="1" applyFont="1" applyFill="1" applyBorder="1" applyAlignment="1">
      <alignment horizontal="center" vertical="center"/>
    </xf>
    <xf numFmtId="4" fontId="17" fillId="0" borderId="0" xfId="0" applyNumberFormat="1" applyFont="1" applyAlignment="1">
      <alignment horizontal="center" vertical="center"/>
    </xf>
    <xf numFmtId="3" fontId="17" fillId="0" borderId="0" xfId="0" applyNumberFormat="1" applyFont="1" applyAlignment="1">
      <alignment horizontal="center" vertical="center"/>
    </xf>
    <xf numFmtId="10" fontId="17" fillId="4" borderId="0" xfId="2" applyNumberFormat="1" applyFont="1" applyFill="1" applyBorder="1" applyAlignment="1">
      <alignment horizontal="center" vertical="center"/>
    </xf>
    <xf numFmtId="10" fontId="12" fillId="4" borderId="0" xfId="2" applyNumberFormat="1" applyFont="1" applyFill="1" applyBorder="1" applyAlignment="1">
      <alignment horizontal="center" vertical="center"/>
    </xf>
    <xf numFmtId="10" fontId="20" fillId="8" borderId="0" xfId="2" applyNumberFormat="1" applyFont="1" applyFill="1" applyBorder="1" applyAlignment="1">
      <alignment horizontal="center" vertical="center"/>
    </xf>
    <xf numFmtId="10" fontId="19" fillId="4" borderId="0" xfId="2" applyNumberFormat="1" applyFont="1" applyFill="1" applyBorder="1" applyAlignment="1">
      <alignment horizontal="center" vertical="center"/>
    </xf>
    <xf numFmtId="167" fontId="20" fillId="4" borderId="0" xfId="2" applyNumberFormat="1" applyFont="1" applyFill="1" applyBorder="1" applyAlignment="1">
      <alignment horizontal="center" vertical="center"/>
    </xf>
    <xf numFmtId="3" fontId="17" fillId="8" borderId="0" xfId="9" applyNumberFormat="1" applyFont="1" applyFill="1" applyBorder="1" applyAlignment="1">
      <alignment horizontal="center" vertical="center"/>
    </xf>
    <xf numFmtId="10" fontId="18" fillId="8" borderId="0" xfId="2" applyNumberFormat="1" applyFont="1" applyFill="1" applyBorder="1" applyAlignment="1">
      <alignment horizontal="center" vertical="center"/>
    </xf>
    <xf numFmtId="167" fontId="18" fillId="8" borderId="0" xfId="2" applyNumberFormat="1" applyFont="1" applyFill="1" applyBorder="1" applyAlignment="1">
      <alignment horizontal="center" vertical="center"/>
    </xf>
    <xf numFmtId="10" fontId="17" fillId="10" borderId="0" xfId="5" applyNumberFormat="1" applyFont="1" applyFill="1" applyBorder="1" applyAlignment="1">
      <alignment horizontal="center" vertical="center"/>
    </xf>
    <xf numFmtId="10" fontId="18" fillId="10" borderId="0" xfId="5" applyNumberFormat="1" applyFont="1" applyFill="1" applyBorder="1" applyAlignment="1">
      <alignment horizontal="center" vertical="center"/>
    </xf>
    <xf numFmtId="9" fontId="17" fillId="11" borderId="0" xfId="5" applyFont="1" applyFill="1" applyBorder="1" applyAlignment="1">
      <alignment horizontal="center" vertical="center"/>
    </xf>
    <xf numFmtId="10" fontId="17" fillId="11" borderId="0" xfId="5" applyNumberFormat="1" applyFont="1" applyFill="1" applyBorder="1" applyAlignment="1">
      <alignment horizontal="center" vertical="center"/>
    </xf>
    <xf numFmtId="9" fontId="17" fillId="10" borderId="0" xfId="5" applyFont="1" applyFill="1" applyBorder="1" applyAlignment="1">
      <alignment horizontal="center" vertical="center"/>
    </xf>
    <xf numFmtId="10" fontId="20" fillId="11" borderId="0" xfId="5" applyNumberFormat="1" applyFont="1" applyFill="1" applyBorder="1" applyAlignment="1">
      <alignment horizontal="center" vertical="center"/>
    </xf>
    <xf numFmtId="4" fontId="17" fillId="8" borderId="0" xfId="2" applyNumberFormat="1" applyFont="1" applyFill="1" applyBorder="1" applyAlignment="1">
      <alignment horizontal="center" vertical="center"/>
    </xf>
    <xf numFmtId="3" fontId="17" fillId="8" borderId="0" xfId="2" applyNumberFormat="1" applyFont="1" applyFill="1" applyBorder="1" applyAlignment="1">
      <alignment horizontal="center" vertical="center"/>
    </xf>
    <xf numFmtId="4" fontId="17" fillId="6" borderId="0" xfId="0" applyNumberFormat="1" applyFont="1" applyFill="1" applyAlignment="1">
      <alignment horizontal="center" vertical="center"/>
    </xf>
    <xf numFmtId="166" fontId="18" fillId="4" borderId="0" xfId="2" applyNumberFormat="1" applyFont="1" applyFill="1" applyBorder="1" applyAlignment="1">
      <alignment horizontal="center" vertical="center"/>
    </xf>
    <xf numFmtId="4" fontId="18" fillId="8" borderId="0" xfId="2" applyNumberFormat="1" applyFont="1" applyFill="1" applyBorder="1" applyAlignment="1">
      <alignment horizontal="center" vertical="center"/>
    </xf>
    <xf numFmtId="4" fontId="17" fillId="6" borderId="0" xfId="9" applyNumberFormat="1" applyFont="1" applyFill="1" applyBorder="1" applyAlignment="1">
      <alignment horizontal="center" vertical="center"/>
    </xf>
    <xf numFmtId="0" fontId="17" fillId="0" borderId="0" xfId="0" applyFont="1" applyAlignment="1">
      <alignment horizontal="center" vertical="center"/>
    </xf>
    <xf numFmtId="0" fontId="17" fillId="0" borderId="2" xfId="0" applyFont="1" applyBorder="1" applyAlignment="1">
      <alignment horizontal="center" vertical="center"/>
    </xf>
    <xf numFmtId="167" fontId="79" fillId="5" borderId="0" xfId="2" applyNumberFormat="1" applyFont="1" applyFill="1" applyBorder="1"/>
    <xf numFmtId="3" fontId="38" fillId="0" borderId="0" xfId="2" applyNumberFormat="1" applyFont="1" applyBorder="1"/>
    <xf numFmtId="37" fontId="38" fillId="2" borderId="0" xfId="2" applyNumberFormat="1" applyFont="1" applyFill="1" applyBorder="1"/>
    <xf numFmtId="170" fontId="38" fillId="0" borderId="0" xfId="0" applyNumberFormat="1" applyFont="1"/>
    <xf numFmtId="170" fontId="38" fillId="2" borderId="0" xfId="0" applyNumberFormat="1" applyFont="1" applyFill="1"/>
    <xf numFmtId="17" fontId="84" fillId="0" borderId="0" xfId="0" applyNumberFormat="1" applyFont="1"/>
    <xf numFmtId="0" fontId="0" fillId="0" borderId="0" xfId="0" applyAlignment="1">
      <alignment horizontal="center"/>
    </xf>
    <xf numFmtId="0" fontId="84" fillId="0" borderId="0" xfId="0" applyFont="1" applyAlignment="1">
      <alignment horizontal="center"/>
    </xf>
    <xf numFmtId="164" fontId="0" fillId="18" borderId="0" xfId="0" applyNumberFormat="1" applyFill="1" applyAlignment="1">
      <alignment horizontal="right"/>
    </xf>
    <xf numFmtId="168" fontId="0" fillId="0" borderId="0" xfId="1" applyNumberFormat="1" applyFont="1"/>
    <xf numFmtId="183" fontId="0" fillId="18" borderId="0" xfId="0" applyNumberFormat="1" applyFill="1" applyAlignment="1">
      <alignment horizontal="right"/>
    </xf>
    <xf numFmtId="164" fontId="0" fillId="0" borderId="0" xfId="0" applyNumberFormat="1"/>
    <xf numFmtId="0" fontId="0" fillId="18" borderId="0" xfId="0" applyFill="1" applyAlignment="1">
      <alignment horizontal="right"/>
    </xf>
    <xf numFmtId="0" fontId="85" fillId="0" borderId="0" xfId="0" applyFont="1"/>
    <xf numFmtId="0" fontId="84" fillId="0" borderId="0" xfId="0" applyFont="1"/>
    <xf numFmtId="10" fontId="6" fillId="18" borderId="0" xfId="0" applyNumberFormat="1" applyFont="1" applyFill="1" applyAlignment="1">
      <alignment horizontal="right"/>
    </xf>
    <xf numFmtId="0" fontId="6" fillId="0" borderId="0" xfId="0" applyFont="1"/>
    <xf numFmtId="0" fontId="6" fillId="18" borderId="0" xfId="0" applyFont="1" applyFill="1" applyAlignment="1">
      <alignment horizontal="right"/>
    </xf>
    <xf numFmtId="168" fontId="85" fillId="0" borderId="0" xfId="0" applyNumberFormat="1" applyFont="1"/>
    <xf numFmtId="167" fontId="0" fillId="18" borderId="0" xfId="11" applyNumberFormat="1" applyFont="1" applyFill="1" applyAlignment="1">
      <alignment horizontal="right"/>
    </xf>
    <xf numFmtId="43" fontId="0" fillId="18" borderId="0" xfId="1" applyFont="1" applyFill="1" applyAlignment="1">
      <alignment horizontal="right"/>
    </xf>
    <xf numFmtId="9" fontId="0" fillId="0" borderId="0" xfId="0" applyNumberFormat="1"/>
    <xf numFmtId="0" fontId="6" fillId="0" borderId="0" xfId="0" applyFont="1" applyAlignment="1">
      <alignment horizontal="right"/>
    </xf>
    <xf numFmtId="9" fontId="0" fillId="18" borderId="0" xfId="0" applyNumberFormat="1" applyFill="1" applyAlignment="1">
      <alignment horizontal="right"/>
    </xf>
    <xf numFmtId="9" fontId="0" fillId="18" borderId="0" xfId="11" applyFont="1" applyFill="1" applyAlignment="1">
      <alignment horizontal="right"/>
    </xf>
    <xf numFmtId="17" fontId="15" fillId="0" borderId="0" xfId="0" applyNumberFormat="1" applyFont="1" applyAlignment="1">
      <alignment horizontal="right"/>
    </xf>
    <xf numFmtId="0" fontId="86" fillId="0" borderId="0" xfId="8" applyFont="1" applyAlignment="1" applyProtection="1"/>
    <xf numFmtId="182" fontId="87" fillId="0" borderId="0" xfId="1" applyNumberFormat="1" applyFont="1"/>
    <xf numFmtId="182" fontId="0" fillId="0" borderId="0" xfId="1" applyNumberFormat="1" applyFont="1"/>
    <xf numFmtId="167" fontId="0" fillId="18" borderId="0" xfId="2" applyNumberFormat="1" applyFont="1" applyFill="1" applyAlignment="1">
      <alignment horizontal="right"/>
    </xf>
    <xf numFmtId="184" fontId="0" fillId="0" borderId="0" xfId="0" applyNumberFormat="1"/>
    <xf numFmtId="43" fontId="71" fillId="0" borderId="0" xfId="1" applyFont="1" applyBorder="1"/>
    <xf numFmtId="0" fontId="79" fillId="0" borderId="0" xfId="0" applyFont="1"/>
    <xf numFmtId="167" fontId="79" fillId="0" borderId="0" xfId="2" applyNumberFormat="1" applyFont="1" applyBorder="1"/>
    <xf numFmtId="10" fontId="79" fillId="0" borderId="0" xfId="2" applyNumberFormat="1" applyFont="1" applyBorder="1"/>
    <xf numFmtId="167" fontId="79" fillId="4" borderId="0" xfId="2" applyNumberFormat="1" applyFont="1" applyFill="1"/>
    <xf numFmtId="167" fontId="79" fillId="0" borderId="0" xfId="2" applyNumberFormat="1" applyFont="1"/>
    <xf numFmtId="3" fontId="79" fillId="0" borderId="9" xfId="0" applyNumberFormat="1" applyFont="1" applyBorder="1"/>
    <xf numFmtId="3" fontId="79" fillId="0" borderId="6" xfId="0" applyNumberFormat="1" applyFont="1" applyBorder="1"/>
    <xf numFmtId="3" fontId="79" fillId="4" borderId="6" xfId="0" applyNumberFormat="1" applyFont="1" applyFill="1" applyBorder="1"/>
    <xf numFmtId="167" fontId="41" fillId="0" borderId="0" xfId="0" applyNumberFormat="1" applyFont="1" applyAlignment="1">
      <alignment horizontal="center"/>
    </xf>
    <xf numFmtId="166" fontId="17" fillId="8" borderId="2" xfId="2" applyNumberFormat="1" applyFont="1" applyFill="1" applyBorder="1" applyAlignment="1">
      <alignment horizontal="center" vertical="center"/>
    </xf>
    <xf numFmtId="9" fontId="17" fillId="8" borderId="2" xfId="2" applyFont="1" applyFill="1" applyBorder="1" applyAlignment="1">
      <alignment horizontal="center" vertical="center"/>
    </xf>
    <xf numFmtId="10" fontId="20" fillId="8" borderId="2" xfId="2" applyNumberFormat="1" applyFont="1" applyFill="1" applyBorder="1" applyAlignment="1">
      <alignment horizontal="center" vertical="center"/>
    </xf>
    <xf numFmtId="2" fontId="12" fillId="6" borderId="2" xfId="0" applyNumberFormat="1" applyFont="1" applyFill="1" applyBorder="1" applyAlignment="1">
      <alignment horizontal="center" vertical="center"/>
    </xf>
    <xf numFmtId="177" fontId="12" fillId="6" borderId="2" xfId="0" applyNumberFormat="1" applyFont="1" applyFill="1" applyBorder="1" applyAlignment="1">
      <alignment horizontal="center" vertical="center"/>
    </xf>
    <xf numFmtId="3" fontId="17" fillId="8" borderId="2" xfId="2" applyNumberFormat="1" applyFont="1" applyFill="1" applyBorder="1" applyAlignment="1">
      <alignment horizontal="center" vertical="center"/>
    </xf>
    <xf numFmtId="4" fontId="18" fillId="8" borderId="2" xfId="2" applyNumberFormat="1" applyFont="1" applyFill="1" applyBorder="1" applyAlignment="1">
      <alignment horizontal="center" vertical="center"/>
    </xf>
    <xf numFmtId="3" fontId="40" fillId="4" borderId="0" xfId="2" applyNumberFormat="1" applyFont="1" applyFill="1" applyBorder="1"/>
    <xf numFmtId="9" fontId="53" fillId="4" borderId="0" xfId="0" applyNumberFormat="1" applyFont="1" applyFill="1"/>
    <xf numFmtId="39" fontId="38" fillId="4" borderId="0" xfId="0" applyNumberFormat="1" applyFont="1" applyFill="1"/>
    <xf numFmtId="167" fontId="38" fillId="4" borderId="0" xfId="2" applyNumberFormat="1" applyFont="1" applyFill="1"/>
    <xf numFmtId="169" fontId="38" fillId="4" borderId="0" xfId="1" applyNumberFormat="1" applyFont="1" applyFill="1"/>
    <xf numFmtId="9" fontId="38" fillId="4" borderId="0" xfId="2" applyFont="1" applyFill="1"/>
    <xf numFmtId="43" fontId="38" fillId="4" borderId="0" xfId="1" applyFont="1" applyFill="1"/>
    <xf numFmtId="37" fontId="38" fillId="4" borderId="0" xfId="0" applyNumberFormat="1" applyFont="1" applyFill="1"/>
    <xf numFmtId="166" fontId="19" fillId="4" borderId="0" xfId="9" applyNumberFormat="1" applyFont="1" applyFill="1" applyBorder="1" applyAlignment="1">
      <alignment horizontal="center" vertical="center"/>
    </xf>
    <xf numFmtId="3" fontId="12" fillId="8" borderId="0" xfId="9" applyNumberFormat="1" applyFont="1" applyFill="1" applyBorder="1" applyAlignment="1">
      <alignment horizontal="center" vertical="center"/>
    </xf>
    <xf numFmtId="9" fontId="12" fillId="6" borderId="0" xfId="2" applyFont="1" applyFill="1" applyAlignment="1">
      <alignment horizontal="center" vertical="center"/>
    </xf>
    <xf numFmtId="167" fontId="38" fillId="5" borderId="0" xfId="2" applyNumberFormat="1" applyFont="1" applyFill="1" applyBorder="1"/>
    <xf numFmtId="166" fontId="77" fillId="15" borderId="0" xfId="0" applyNumberFormat="1" applyFont="1" applyFill="1"/>
    <xf numFmtId="167" fontId="32" fillId="0" borderId="0" xfId="2" applyNumberFormat="1" applyFont="1" applyBorder="1"/>
  </cellXfs>
  <cellStyles count="12">
    <cellStyle name="Comma" xfId="1" builtinId="3"/>
    <cellStyle name="Comma 3" xfId="9" xr:uid="{2942F8BB-D6FA-46C4-A7C5-AC58A16566C2}"/>
    <cellStyle name="Hipervínculo" xfId="8" xr:uid="{99FC4EA7-01BE-44C9-82E0-7081024A6B31}"/>
    <cellStyle name="Normal" xfId="0" builtinId="0"/>
    <cellStyle name="Normal 10 2" xfId="7" xr:uid="{00000000-0005-0000-0000-000004000000}"/>
    <cellStyle name="Normal 2" xfId="10" xr:uid="{4968AB9B-4662-47E0-B79F-F07CDF324277}"/>
    <cellStyle name="Normal 2 2 2" xfId="6" xr:uid="{00000000-0005-0000-0000-000005000000}"/>
    <cellStyle name="Normal 5 2 2 2" xfId="4" xr:uid="{00000000-0005-0000-0000-000006000000}"/>
    <cellStyle name="Percent" xfId="2" builtinId="5"/>
    <cellStyle name="Percent 2 2" xfId="5" xr:uid="{00000000-0005-0000-0000-000009000000}"/>
    <cellStyle name="Percent 2 21" xfId="11" xr:uid="{28D31131-CDA2-459A-B09D-51DE1DA9E3E1}"/>
    <cellStyle name="一般_FBbk 01 spread_Chinatrust Model CAM 20Feb05" xfId="3" xr:uid="{00000000-0005-0000-0000-00000A000000}"/>
  </cellStyles>
  <dxfs count="0"/>
  <tableStyles count="0" defaultTableStyle="TableStyleMedium2" defaultPivotStyle="PivotStyleLight16"/>
  <colors>
    <mruColors>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pulp prices usd</c:v>
          </c:tx>
          <c:spPr>
            <a:ln w="28575" cap="rnd">
              <a:solidFill>
                <a:schemeClr val="accent1"/>
              </a:solidFill>
              <a:round/>
            </a:ln>
            <a:effectLst/>
          </c:spPr>
          <c:marker>
            <c:symbol val="none"/>
          </c:marker>
          <c:cat>
            <c:numRef>
              <c:f>FAT!$BL$1:$BZ$1</c:f>
              <c:numCache>
                <c:formatCode>mmm\-yy</c:formatCode>
                <c:ptCount val="11"/>
                <c:pt idx="0">
                  <c:v>42735</c:v>
                </c:pt>
                <c:pt idx="1">
                  <c:v>43100</c:v>
                </c:pt>
                <c:pt idx="2">
                  <c:v>43465</c:v>
                </c:pt>
                <c:pt idx="3">
                  <c:v>43830</c:v>
                </c:pt>
                <c:pt idx="4">
                  <c:v>44196</c:v>
                </c:pt>
                <c:pt idx="5">
                  <c:v>44561</c:v>
                </c:pt>
                <c:pt idx="6">
                  <c:v>44926</c:v>
                </c:pt>
                <c:pt idx="7">
                  <c:v>45291</c:v>
                </c:pt>
                <c:pt idx="8">
                  <c:v>45657</c:v>
                </c:pt>
                <c:pt idx="9">
                  <c:v>46022</c:v>
                </c:pt>
                <c:pt idx="10">
                  <c:v>46387</c:v>
                </c:pt>
              </c:numCache>
            </c:numRef>
          </c:cat>
          <c:val>
            <c:numRef>
              <c:f>FAT!$BL$54:$BZ$54</c:f>
              <c:numCache>
                <c:formatCode>0.00</c:formatCode>
                <c:ptCount val="11"/>
                <c:pt idx="0">
                  <c:v>695.57557692307682</c:v>
                </c:pt>
                <c:pt idx="1">
                  <c:v>819.4</c:v>
                </c:pt>
                <c:pt idx="2">
                  <c:v>1037.1430769230769</c:v>
                </c:pt>
                <c:pt idx="3">
                  <c:v>860.77124358974356</c:v>
                </c:pt>
                <c:pt idx="4">
                  <c:v>680.08365384615388</c:v>
                </c:pt>
                <c:pt idx="5">
                  <c:v>1004.8107692307692</c:v>
                </c:pt>
                <c:pt idx="6">
                  <c:v>1282.1356936813188</c:v>
                </c:pt>
                <c:pt idx="7">
                  <c:v>1044.2403846153848</c:v>
                </c:pt>
                <c:pt idx="8">
                  <c:v>1234.337818223443</c:v>
                </c:pt>
                <c:pt idx="9">
                  <c:v>1087.8451923076923</c:v>
                </c:pt>
                <c:pt idx="10">
                  <c:v>1117.1479500643065</c:v>
                </c:pt>
              </c:numCache>
            </c:numRef>
          </c:val>
          <c:smooth val="0"/>
          <c:extLst>
            <c:ext xmlns:c16="http://schemas.microsoft.com/office/drawing/2014/chart" uri="{C3380CC4-5D6E-409C-BE32-E72D297353CC}">
              <c16:uniqueId val="{00000000-9F1C-48CC-A628-89DA854D684F}"/>
            </c:ext>
          </c:extLst>
        </c:ser>
        <c:dLbls>
          <c:showLegendKey val="0"/>
          <c:showVal val="0"/>
          <c:showCatName val="0"/>
          <c:showSerName val="0"/>
          <c:showPercent val="0"/>
          <c:showBubbleSize val="0"/>
        </c:dLbls>
        <c:marker val="1"/>
        <c:smooth val="0"/>
        <c:axId val="1071049608"/>
        <c:axId val="1071049968"/>
      </c:lineChart>
      <c:lineChart>
        <c:grouping val="standard"/>
        <c:varyColors val="0"/>
        <c:ser>
          <c:idx val="2"/>
          <c:order val="1"/>
          <c:tx>
            <c:v>Brent usd</c:v>
          </c:tx>
          <c:spPr>
            <a:ln w="28575" cap="rnd">
              <a:solidFill>
                <a:schemeClr val="accent3"/>
              </a:solidFill>
              <a:round/>
            </a:ln>
            <a:effectLst/>
          </c:spPr>
          <c:marker>
            <c:symbol val="none"/>
          </c:marker>
          <c:cat>
            <c:numRef>
              <c:f>FAT!$BL$1:$BZ$1</c:f>
              <c:numCache>
                <c:formatCode>mmm\-yy</c:formatCode>
                <c:ptCount val="11"/>
                <c:pt idx="0">
                  <c:v>42735</c:v>
                </c:pt>
                <c:pt idx="1">
                  <c:v>43100</c:v>
                </c:pt>
                <c:pt idx="2">
                  <c:v>43465</c:v>
                </c:pt>
                <c:pt idx="3">
                  <c:v>43830</c:v>
                </c:pt>
                <c:pt idx="4">
                  <c:v>44196</c:v>
                </c:pt>
                <c:pt idx="5">
                  <c:v>44561</c:v>
                </c:pt>
                <c:pt idx="6">
                  <c:v>44926</c:v>
                </c:pt>
                <c:pt idx="7">
                  <c:v>45291</c:v>
                </c:pt>
                <c:pt idx="8">
                  <c:v>45657</c:v>
                </c:pt>
                <c:pt idx="9">
                  <c:v>46022</c:v>
                </c:pt>
                <c:pt idx="10">
                  <c:v>46387</c:v>
                </c:pt>
              </c:numCache>
            </c:numRef>
          </c:cat>
          <c:val>
            <c:numRef>
              <c:f>FAT!$BL$59:$BZ$59</c:f>
              <c:numCache>
                <c:formatCode>0.0</c:formatCode>
                <c:ptCount val="11"/>
                <c:pt idx="0">
                  <c:v>45.115009324009314</c:v>
                </c:pt>
                <c:pt idx="1">
                  <c:v>54.790423076923069</c:v>
                </c:pt>
                <c:pt idx="2">
                  <c:v>71.600026806526813</c:v>
                </c:pt>
                <c:pt idx="3">
                  <c:v>64.179488545308843</c:v>
                </c:pt>
                <c:pt idx="4">
                  <c:v>43.277053030303037</c:v>
                </c:pt>
                <c:pt idx="5">
                  <c:v>70.770806763548961</c:v>
                </c:pt>
                <c:pt idx="6">
                  <c:v>95.818032388663994</c:v>
                </c:pt>
                <c:pt idx="7">
                  <c:v>82.180346153846159</c:v>
                </c:pt>
                <c:pt idx="8">
                  <c:v>79.878715034965026</c:v>
                </c:pt>
                <c:pt idx="9">
                  <c:v>68.233202469405597</c:v>
                </c:pt>
                <c:pt idx="10">
                  <c:v>72</c:v>
                </c:pt>
              </c:numCache>
            </c:numRef>
          </c:val>
          <c:smooth val="0"/>
          <c:extLst>
            <c:ext xmlns:c16="http://schemas.microsoft.com/office/drawing/2014/chart" uri="{C3380CC4-5D6E-409C-BE32-E72D297353CC}">
              <c16:uniqueId val="{00000002-9F1C-48CC-A628-89DA854D684F}"/>
            </c:ext>
          </c:extLst>
        </c:ser>
        <c:dLbls>
          <c:showLegendKey val="0"/>
          <c:showVal val="0"/>
          <c:showCatName val="0"/>
          <c:showSerName val="0"/>
          <c:showPercent val="0"/>
          <c:showBubbleSize val="0"/>
        </c:dLbls>
        <c:marker val="1"/>
        <c:smooth val="0"/>
        <c:axId val="1885658648"/>
        <c:axId val="1885664768"/>
      </c:lineChart>
      <c:dateAx>
        <c:axId val="107104960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968"/>
        <c:crosses val="autoZero"/>
        <c:auto val="1"/>
        <c:lblOffset val="100"/>
        <c:baseTimeUnit val="years"/>
      </c:dateAx>
      <c:valAx>
        <c:axId val="107104996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608"/>
        <c:crosses val="autoZero"/>
        <c:crossBetween val="between"/>
        <c:majorUnit val="200"/>
      </c:valAx>
      <c:valAx>
        <c:axId val="188566476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58648"/>
        <c:crosses val="max"/>
        <c:crossBetween val="between"/>
        <c:majorUnit val="15"/>
      </c:valAx>
      <c:dateAx>
        <c:axId val="1885658648"/>
        <c:scaling>
          <c:orientation val="minMax"/>
        </c:scaling>
        <c:delete val="1"/>
        <c:axPos val="b"/>
        <c:numFmt formatCode="mmm\-yy" sourceLinked="1"/>
        <c:majorTickMark val="out"/>
        <c:minorTickMark val="none"/>
        <c:tickLblPos val="nextTo"/>
        <c:crossAx val="1885664768"/>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gross margin</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FAT!$BL$1:$BZ$1</c:f>
              <c:numCache>
                <c:formatCode>mmm\-yy</c:formatCode>
                <c:ptCount val="11"/>
                <c:pt idx="0">
                  <c:v>42735</c:v>
                </c:pt>
                <c:pt idx="1">
                  <c:v>43100</c:v>
                </c:pt>
                <c:pt idx="2">
                  <c:v>43465</c:v>
                </c:pt>
                <c:pt idx="3">
                  <c:v>43830</c:v>
                </c:pt>
                <c:pt idx="4">
                  <c:v>44196</c:v>
                </c:pt>
                <c:pt idx="5">
                  <c:v>44561</c:v>
                </c:pt>
                <c:pt idx="6">
                  <c:v>44926</c:v>
                </c:pt>
                <c:pt idx="7">
                  <c:v>45291</c:v>
                </c:pt>
                <c:pt idx="8">
                  <c:v>45657</c:v>
                </c:pt>
                <c:pt idx="9">
                  <c:v>46022</c:v>
                </c:pt>
                <c:pt idx="10">
                  <c:v>46387</c:v>
                </c:pt>
              </c:numCache>
            </c:numRef>
          </c:cat>
          <c:val>
            <c:numRef>
              <c:f>FAT!$BL$68:$BZ$68</c:f>
              <c:numCache>
                <c:formatCode>0.0%</c:formatCode>
                <c:ptCount val="11"/>
                <c:pt idx="0">
                  <c:v>0.38656250600282466</c:v>
                </c:pt>
                <c:pt idx="1">
                  <c:v>0.35487147617312603</c:v>
                </c:pt>
                <c:pt idx="2">
                  <c:v>0.34954087643647347</c:v>
                </c:pt>
                <c:pt idx="3">
                  <c:v>0.37519706763044075</c:v>
                </c:pt>
                <c:pt idx="4">
                  <c:v>0.38561365414285353</c:v>
                </c:pt>
                <c:pt idx="5">
                  <c:v>0.33662490841305082</c:v>
                </c:pt>
                <c:pt idx="6">
                  <c:v>0.32851870994652893</c:v>
                </c:pt>
                <c:pt idx="7">
                  <c:v>0.38831706963209789</c:v>
                </c:pt>
                <c:pt idx="8">
                  <c:v>0.40859105253943495</c:v>
                </c:pt>
                <c:pt idx="9">
                  <c:v>0.38884409502481326</c:v>
                </c:pt>
                <c:pt idx="10">
                  <c:v>0.40024406943978919</c:v>
                </c:pt>
              </c:numCache>
            </c:numRef>
          </c:val>
          <c:smooth val="0"/>
          <c:extLst>
            <c:ext xmlns:c16="http://schemas.microsoft.com/office/drawing/2014/chart" uri="{C3380CC4-5D6E-409C-BE32-E72D297353CC}">
              <c16:uniqueId val="{00000000-9597-4A48-BC58-5F893B4B4CBB}"/>
            </c:ext>
          </c:extLst>
        </c:ser>
        <c:dLbls>
          <c:showLegendKey val="0"/>
          <c:showVal val="0"/>
          <c:showCatName val="0"/>
          <c:showSerName val="0"/>
          <c:showPercent val="0"/>
          <c:showBubbleSize val="0"/>
        </c:dLbls>
        <c:marker val="1"/>
        <c:smooth val="0"/>
        <c:axId val="1071049608"/>
        <c:axId val="1071049968"/>
      </c:lineChart>
      <c:lineChart>
        <c:grouping val="standard"/>
        <c:varyColors val="0"/>
        <c:ser>
          <c:idx val="1"/>
          <c:order val="1"/>
          <c:tx>
            <c:v>Pulp Prices MXN</c:v>
          </c:tx>
          <c:spPr>
            <a:ln w="28575" cap="rnd">
              <a:solidFill>
                <a:schemeClr val="accent2"/>
              </a:solidFill>
              <a:round/>
            </a:ln>
            <a:effectLst/>
          </c:spPr>
          <c:marker>
            <c:symbol val="none"/>
          </c:marker>
          <c:val>
            <c:numRef>
              <c:f>FAT!$BL$56:$BZ$56</c:f>
              <c:numCache>
                <c:formatCode>#,##0.0</c:formatCode>
                <c:ptCount val="11"/>
                <c:pt idx="0">
                  <c:v>13193.225418951921</c:v>
                </c:pt>
                <c:pt idx="1">
                  <c:v>16546.226139999999</c:v>
                </c:pt>
                <c:pt idx="2">
                  <c:v>20384.736033999998</c:v>
                </c:pt>
                <c:pt idx="3">
                  <c:v>16602.943093418591</c:v>
                </c:pt>
                <c:pt idx="4">
                  <c:v>13207.496591153847</c:v>
                </c:pt>
                <c:pt idx="5">
                  <c:v>20319.132653769229</c:v>
                </c:pt>
                <c:pt idx="6">
                  <c:v>25661.497161538806</c:v>
                </c:pt>
                <c:pt idx="7">
                  <c:v>19042.715441826927</c:v>
                </c:pt>
                <c:pt idx="8">
                  <c:v>19468.053979350057</c:v>
                </c:pt>
                <c:pt idx="9">
                  <c:v>21375.063500001925</c:v>
                </c:pt>
                <c:pt idx="10">
                  <c:v>19922.237849684192</c:v>
                </c:pt>
              </c:numCache>
            </c:numRef>
          </c:val>
          <c:smooth val="0"/>
          <c:extLst>
            <c:ext xmlns:c16="http://schemas.microsoft.com/office/drawing/2014/chart" uri="{C3380CC4-5D6E-409C-BE32-E72D297353CC}">
              <c16:uniqueId val="{00000001-9597-4A48-BC58-5F893B4B4CBB}"/>
            </c:ext>
          </c:extLst>
        </c:ser>
        <c:dLbls>
          <c:showLegendKey val="0"/>
          <c:showVal val="0"/>
          <c:showCatName val="0"/>
          <c:showSerName val="0"/>
          <c:showPercent val="0"/>
          <c:showBubbleSize val="0"/>
        </c:dLbls>
        <c:marker val="1"/>
        <c:smooth val="0"/>
        <c:axId val="1885658648"/>
        <c:axId val="1885664768"/>
      </c:lineChart>
      <c:dateAx>
        <c:axId val="107104960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968"/>
        <c:crosses val="autoZero"/>
        <c:auto val="1"/>
        <c:lblOffset val="100"/>
        <c:baseTimeUnit val="years"/>
      </c:dateAx>
      <c:valAx>
        <c:axId val="1071049968"/>
        <c:scaling>
          <c:orientation val="minMax"/>
          <c:min val="0.3000000000000000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608"/>
        <c:crosses val="autoZero"/>
        <c:crossBetween val="between"/>
      </c:valAx>
      <c:valAx>
        <c:axId val="188566476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58648"/>
        <c:crosses val="max"/>
        <c:crossBetween val="between"/>
      </c:valAx>
      <c:catAx>
        <c:axId val="1885658648"/>
        <c:scaling>
          <c:orientation val="minMax"/>
        </c:scaling>
        <c:delete val="1"/>
        <c:axPos val="b"/>
        <c:majorTickMark val="out"/>
        <c:minorTickMark val="none"/>
        <c:tickLblPos val="nextTo"/>
        <c:crossAx val="1885664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pulp prices usd</c:v>
          </c:tx>
          <c:spPr>
            <a:ln w="28575" cap="rnd">
              <a:solidFill>
                <a:schemeClr val="accent1"/>
              </a:solidFill>
              <a:round/>
            </a:ln>
            <a:effectLst/>
          </c:spPr>
          <c:marker>
            <c:symbol val="none"/>
          </c:marker>
          <c:cat>
            <c:numRef>
              <c:f>FAT!$BL$1:$BZ$1</c:f>
              <c:numCache>
                <c:formatCode>mmm\-yy</c:formatCode>
                <c:ptCount val="11"/>
                <c:pt idx="0">
                  <c:v>42735</c:v>
                </c:pt>
                <c:pt idx="1">
                  <c:v>43100</c:v>
                </c:pt>
                <c:pt idx="2">
                  <c:v>43465</c:v>
                </c:pt>
                <c:pt idx="3">
                  <c:v>43830</c:v>
                </c:pt>
                <c:pt idx="4">
                  <c:v>44196</c:v>
                </c:pt>
                <c:pt idx="5">
                  <c:v>44561</c:v>
                </c:pt>
                <c:pt idx="6">
                  <c:v>44926</c:v>
                </c:pt>
                <c:pt idx="7">
                  <c:v>45291</c:v>
                </c:pt>
                <c:pt idx="8">
                  <c:v>45657</c:v>
                </c:pt>
                <c:pt idx="9">
                  <c:v>46022</c:v>
                </c:pt>
                <c:pt idx="10">
                  <c:v>46387</c:v>
                </c:pt>
              </c:numCache>
            </c:numRef>
          </c:cat>
          <c:val>
            <c:numRef>
              <c:f>FAT!$BL$54:$BZ$54</c:f>
              <c:numCache>
                <c:formatCode>0.00</c:formatCode>
                <c:ptCount val="11"/>
                <c:pt idx="0">
                  <c:v>695.57557692307682</c:v>
                </c:pt>
                <c:pt idx="1">
                  <c:v>819.4</c:v>
                </c:pt>
                <c:pt idx="2">
                  <c:v>1037.1430769230769</c:v>
                </c:pt>
                <c:pt idx="3">
                  <c:v>860.77124358974356</c:v>
                </c:pt>
                <c:pt idx="4">
                  <c:v>680.08365384615388</c:v>
                </c:pt>
                <c:pt idx="5">
                  <c:v>1004.8107692307692</c:v>
                </c:pt>
                <c:pt idx="6">
                  <c:v>1282.1356936813188</c:v>
                </c:pt>
                <c:pt idx="7">
                  <c:v>1044.2403846153848</c:v>
                </c:pt>
                <c:pt idx="8">
                  <c:v>1234.337818223443</c:v>
                </c:pt>
                <c:pt idx="9">
                  <c:v>1087.8451923076923</c:v>
                </c:pt>
                <c:pt idx="10">
                  <c:v>1117.1479500643065</c:v>
                </c:pt>
              </c:numCache>
            </c:numRef>
          </c:val>
          <c:smooth val="0"/>
          <c:extLst>
            <c:ext xmlns:c16="http://schemas.microsoft.com/office/drawing/2014/chart" uri="{C3380CC4-5D6E-409C-BE32-E72D297353CC}">
              <c16:uniqueId val="{00000000-CFDF-48FF-9E70-216DA1404F40}"/>
            </c:ext>
          </c:extLst>
        </c:ser>
        <c:dLbls>
          <c:showLegendKey val="0"/>
          <c:showVal val="0"/>
          <c:showCatName val="0"/>
          <c:showSerName val="0"/>
          <c:showPercent val="0"/>
          <c:showBubbleSize val="0"/>
        </c:dLbls>
        <c:marker val="1"/>
        <c:smooth val="0"/>
        <c:axId val="1071049608"/>
        <c:axId val="1071049968"/>
      </c:lineChart>
      <c:lineChart>
        <c:grouping val="standard"/>
        <c:varyColors val="0"/>
        <c:ser>
          <c:idx val="1"/>
          <c:order val="1"/>
          <c:tx>
            <c:v>MXN</c:v>
          </c:tx>
          <c:spPr>
            <a:ln w="28575" cap="rnd">
              <a:solidFill>
                <a:schemeClr val="accent2"/>
              </a:solidFill>
              <a:round/>
            </a:ln>
            <a:effectLst/>
          </c:spPr>
          <c:marker>
            <c:symbol val="none"/>
          </c:marker>
          <c:val>
            <c:numRef>
              <c:f>FAT!$BL$3:$BZ$3</c:f>
              <c:numCache>
                <c:formatCode>#,##0.0</c:formatCode>
                <c:ptCount val="11"/>
                <c:pt idx="0">
                  <c:v>18.96735</c:v>
                </c:pt>
                <c:pt idx="1">
                  <c:v>20.193100000000001</c:v>
                </c:pt>
                <c:pt idx="2">
                  <c:v>19.654699999999998</c:v>
                </c:pt>
                <c:pt idx="3">
                  <c:v>19.288450000000001</c:v>
                </c:pt>
                <c:pt idx="4">
                  <c:v>19.420400000000001</c:v>
                </c:pt>
                <c:pt idx="5">
                  <c:v>20.22185</c:v>
                </c:pt>
                <c:pt idx="6">
                  <c:v>20.01465</c:v>
                </c:pt>
                <c:pt idx="7">
                  <c:v>18.235950000000003</c:v>
                </c:pt>
                <c:pt idx="8">
                  <c:v>18.8996</c:v>
                </c:pt>
                <c:pt idx="9">
                  <c:v>19.4176</c:v>
                </c:pt>
                <c:pt idx="10">
                  <c:v>18.07476053034835</c:v>
                </c:pt>
              </c:numCache>
            </c:numRef>
          </c:val>
          <c:smooth val="0"/>
          <c:extLst>
            <c:ext xmlns:c16="http://schemas.microsoft.com/office/drawing/2014/chart" uri="{C3380CC4-5D6E-409C-BE32-E72D297353CC}">
              <c16:uniqueId val="{00000001-CFDF-48FF-9E70-216DA1404F40}"/>
            </c:ext>
          </c:extLst>
        </c:ser>
        <c:dLbls>
          <c:showLegendKey val="0"/>
          <c:showVal val="0"/>
          <c:showCatName val="0"/>
          <c:showSerName val="0"/>
          <c:showPercent val="0"/>
          <c:showBubbleSize val="0"/>
        </c:dLbls>
        <c:marker val="1"/>
        <c:smooth val="0"/>
        <c:axId val="1885658648"/>
        <c:axId val="1885664768"/>
      </c:lineChart>
      <c:dateAx>
        <c:axId val="1071049608"/>
        <c:scaling>
          <c:orientation val="minMax"/>
          <c:max val="46387"/>
          <c:min val="41274"/>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968"/>
        <c:crosses val="autoZero"/>
        <c:auto val="1"/>
        <c:lblOffset val="100"/>
        <c:baseTimeUnit val="years"/>
      </c:dateAx>
      <c:valAx>
        <c:axId val="1071049968"/>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608"/>
        <c:crosses val="autoZero"/>
        <c:crossBetween val="between"/>
        <c:majorUnit val="200"/>
      </c:valAx>
      <c:valAx>
        <c:axId val="188566476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58648"/>
        <c:crosses val="max"/>
        <c:crossBetween val="between"/>
      </c:valAx>
      <c:catAx>
        <c:axId val="1885658648"/>
        <c:scaling>
          <c:orientation val="minMax"/>
        </c:scaling>
        <c:delete val="1"/>
        <c:axPos val="b"/>
        <c:majorTickMark val="out"/>
        <c:minorTickMark val="none"/>
        <c:tickLblPos val="nextTo"/>
        <c:crossAx val="1885664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gross margin</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FAT!$BL$1:$BZ$1</c:f>
              <c:numCache>
                <c:formatCode>mmm\-yy</c:formatCode>
                <c:ptCount val="11"/>
                <c:pt idx="0">
                  <c:v>42735</c:v>
                </c:pt>
                <c:pt idx="1">
                  <c:v>43100</c:v>
                </c:pt>
                <c:pt idx="2">
                  <c:v>43465</c:v>
                </c:pt>
                <c:pt idx="3">
                  <c:v>43830</c:v>
                </c:pt>
                <c:pt idx="4">
                  <c:v>44196</c:v>
                </c:pt>
                <c:pt idx="5">
                  <c:v>44561</c:v>
                </c:pt>
                <c:pt idx="6">
                  <c:v>44926</c:v>
                </c:pt>
                <c:pt idx="7">
                  <c:v>45291</c:v>
                </c:pt>
                <c:pt idx="8">
                  <c:v>45657</c:v>
                </c:pt>
                <c:pt idx="9">
                  <c:v>46022</c:v>
                </c:pt>
                <c:pt idx="10">
                  <c:v>46387</c:v>
                </c:pt>
              </c:numCache>
            </c:numRef>
          </c:cat>
          <c:val>
            <c:numRef>
              <c:f>FAT!$BL$68:$BZ$68</c:f>
              <c:numCache>
                <c:formatCode>0.0%</c:formatCode>
                <c:ptCount val="11"/>
                <c:pt idx="0">
                  <c:v>0.38656250600282466</c:v>
                </c:pt>
                <c:pt idx="1">
                  <c:v>0.35487147617312603</c:v>
                </c:pt>
                <c:pt idx="2">
                  <c:v>0.34954087643647347</c:v>
                </c:pt>
                <c:pt idx="3">
                  <c:v>0.37519706763044075</c:v>
                </c:pt>
                <c:pt idx="4">
                  <c:v>0.38561365414285353</c:v>
                </c:pt>
                <c:pt idx="5">
                  <c:v>0.33662490841305082</c:v>
                </c:pt>
                <c:pt idx="6">
                  <c:v>0.32851870994652893</c:v>
                </c:pt>
                <c:pt idx="7">
                  <c:v>0.38831706963209789</c:v>
                </c:pt>
                <c:pt idx="8">
                  <c:v>0.40859105253943495</c:v>
                </c:pt>
                <c:pt idx="9">
                  <c:v>0.38884409502481326</c:v>
                </c:pt>
                <c:pt idx="10">
                  <c:v>0.40024406943978919</c:v>
                </c:pt>
              </c:numCache>
            </c:numRef>
          </c:val>
          <c:smooth val="0"/>
          <c:extLst>
            <c:ext xmlns:c16="http://schemas.microsoft.com/office/drawing/2014/chart" uri="{C3380CC4-5D6E-409C-BE32-E72D297353CC}">
              <c16:uniqueId val="{00000000-B81A-475E-B55C-9001C1897DBC}"/>
            </c:ext>
          </c:extLst>
        </c:ser>
        <c:dLbls>
          <c:showLegendKey val="0"/>
          <c:showVal val="0"/>
          <c:showCatName val="0"/>
          <c:showSerName val="0"/>
          <c:showPercent val="0"/>
          <c:showBubbleSize val="0"/>
        </c:dLbls>
        <c:marker val="1"/>
        <c:smooth val="0"/>
        <c:axId val="1071049608"/>
        <c:axId val="1071049968"/>
      </c:lineChart>
      <c:lineChart>
        <c:grouping val="standard"/>
        <c:varyColors val="0"/>
        <c:ser>
          <c:idx val="1"/>
          <c:order val="1"/>
          <c:tx>
            <c:v>Brent Prices MXN</c:v>
          </c:tx>
          <c:spPr>
            <a:ln w="28575" cap="rnd">
              <a:solidFill>
                <a:schemeClr val="accent2"/>
              </a:solidFill>
              <a:round/>
            </a:ln>
            <a:effectLst/>
          </c:spPr>
          <c:marker>
            <c:symbol val="none"/>
          </c:marker>
          <c:val>
            <c:numRef>
              <c:f>FAT!$BL$61:$BZ$61</c:f>
              <c:numCache>
                <c:formatCode>#,##0.0</c:formatCode>
                <c:ptCount val="11"/>
                <c:pt idx="0">
                  <c:v>855.71217210174802</c:v>
                </c:pt>
                <c:pt idx="1">
                  <c:v>1106.3884922346153</c:v>
                </c:pt>
                <c:pt idx="2">
                  <c:v>1407.2770468742424</c:v>
                </c:pt>
                <c:pt idx="3">
                  <c:v>1237.9228558317625</c:v>
                </c:pt>
                <c:pt idx="4">
                  <c:v>840.45768066969708</c:v>
                </c:pt>
                <c:pt idx="5">
                  <c:v>1431.1166387514725</c:v>
                </c:pt>
                <c:pt idx="6">
                  <c:v>1917.7643819477737</c:v>
                </c:pt>
                <c:pt idx="7">
                  <c:v>1498.636683444231</c:v>
                </c:pt>
                <c:pt idx="8">
                  <c:v>1509.6757626748249</c:v>
                </c:pt>
                <c:pt idx="9">
                  <c:v>1324.9250322699302</c:v>
                </c:pt>
                <c:pt idx="10">
                  <c:v>1301.3827581850812</c:v>
                </c:pt>
              </c:numCache>
            </c:numRef>
          </c:val>
          <c:smooth val="0"/>
          <c:extLst>
            <c:ext xmlns:c16="http://schemas.microsoft.com/office/drawing/2014/chart" uri="{C3380CC4-5D6E-409C-BE32-E72D297353CC}">
              <c16:uniqueId val="{00000001-B81A-475E-B55C-9001C1897DBC}"/>
            </c:ext>
          </c:extLst>
        </c:ser>
        <c:dLbls>
          <c:showLegendKey val="0"/>
          <c:showVal val="0"/>
          <c:showCatName val="0"/>
          <c:showSerName val="0"/>
          <c:showPercent val="0"/>
          <c:showBubbleSize val="0"/>
        </c:dLbls>
        <c:marker val="1"/>
        <c:smooth val="0"/>
        <c:axId val="1885658648"/>
        <c:axId val="1885664768"/>
      </c:lineChart>
      <c:dateAx>
        <c:axId val="107104960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968"/>
        <c:crosses val="autoZero"/>
        <c:auto val="1"/>
        <c:lblOffset val="100"/>
        <c:baseTimeUnit val="years"/>
      </c:dateAx>
      <c:valAx>
        <c:axId val="1071049968"/>
        <c:scaling>
          <c:orientation val="minMax"/>
          <c:min val="0.3000000000000000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9608"/>
        <c:crosses val="autoZero"/>
        <c:crossBetween val="between"/>
      </c:valAx>
      <c:valAx>
        <c:axId val="188566476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58648"/>
        <c:crosses val="max"/>
        <c:crossBetween val="between"/>
      </c:valAx>
      <c:catAx>
        <c:axId val="1885658648"/>
        <c:scaling>
          <c:orientation val="minMax"/>
        </c:scaling>
        <c:delete val="1"/>
        <c:axPos val="b"/>
        <c:majorTickMark val="out"/>
        <c:minorTickMark val="none"/>
        <c:tickLblPos val="nextTo"/>
        <c:crossAx val="1885664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Pulp MXN</a:t>
            </a:r>
            <a:r>
              <a:rPr lang="en-US" baseline="0"/>
              <a:t> vs COGS yoy var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7058836395450569E-2"/>
                  <c:y val="-0.150358340624088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FAT!$F$57:$AK$57</c:f>
              <c:numCache>
                <c:formatCode>0.0%</c:formatCode>
                <c:ptCount val="32"/>
                <c:pt idx="0">
                  <c:v>-3.2462878430933317E-2</c:v>
                </c:pt>
                <c:pt idx="1">
                  <c:v>-8.5738706348480465E-2</c:v>
                </c:pt>
                <c:pt idx="2">
                  <c:v>7.2332505393305047E-2</c:v>
                </c:pt>
                <c:pt idx="3">
                  <c:v>0.24418579649473049</c:v>
                </c:pt>
                <c:pt idx="4">
                  <c:v>0.3246612585645281</c:v>
                </c:pt>
                <c:pt idx="5">
                  <c:v>0.55211906874241601</c:v>
                </c:pt>
                <c:pt idx="6">
                  <c:v>0.41827811105806667</c:v>
                </c:pt>
                <c:pt idx="7">
                  <c:v>0.25629852908814788</c:v>
                </c:pt>
                <c:pt idx="8">
                  <c:v>0.13919181320473761</c:v>
                </c:pt>
                <c:pt idx="9">
                  <c:v>-2.974727853597614E-2</c:v>
                </c:pt>
                <c:pt idx="10">
                  <c:v>-7.8072842025862066E-2</c:v>
                </c:pt>
                <c:pt idx="11">
                  <c:v>-0.24680355606954629</c:v>
                </c:pt>
                <c:pt idx="12">
                  <c:v>-0.30755743169466043</c:v>
                </c:pt>
                <c:pt idx="13">
                  <c:v>-0.16585981379358883</c:v>
                </c:pt>
                <c:pt idx="14">
                  <c:v>-0.17626321220923935</c:v>
                </c:pt>
                <c:pt idx="15">
                  <c:v>-0.10993402463216972</c:v>
                </c:pt>
                <c:pt idx="16">
                  <c:v>-4.6302846183342572E-3</c:v>
                </c:pt>
                <c:pt idx="17">
                  <c:v>-4.9243622421668243E-2</c:v>
                </c:pt>
                <c:pt idx="18">
                  <c:v>0.32205064811337381</c:v>
                </c:pt>
                <c:pt idx="19">
                  <c:v>0.68620678810523361</c:v>
                </c:pt>
                <c:pt idx="20">
                  <c:v>0.68978134582615991</c:v>
                </c:pt>
                <c:pt idx="21">
                  <c:v>0.52702302344688978</c:v>
                </c:pt>
                <c:pt idx="22">
                  <c:v>0.25840931708063919</c:v>
                </c:pt>
                <c:pt idx="23">
                  <c:v>0.13951482383002611</c:v>
                </c:pt>
                <c:pt idx="24">
                  <c:v>0.10129538519217984</c:v>
                </c:pt>
                <c:pt idx="25">
                  <c:v>2.6751708550230457E-2</c:v>
                </c:pt>
                <c:pt idx="26">
                  <c:v>-0.25105189920447823</c:v>
                </c:pt>
                <c:pt idx="27">
                  <c:v>-0.45376544386172013</c:v>
                </c:pt>
                <c:pt idx="28">
                  <c:v>-0.40103064864998983</c:v>
                </c:pt>
                <c:pt idx="29">
                  <c:v>-0.1887373997663554</c:v>
                </c:pt>
                <c:pt idx="30">
                  <c:v>0.12527936591395505</c:v>
                </c:pt>
                <c:pt idx="31">
                  <c:v>0.51585707310964257</c:v>
                </c:pt>
              </c:numCache>
            </c:numRef>
          </c:xVal>
          <c:yVal>
            <c:numRef>
              <c:f>FAT!$F$29:$AK$29</c:f>
              <c:numCache>
                <c:formatCode>0.0%</c:formatCode>
                <c:ptCount val="32"/>
                <c:pt idx="0">
                  <c:v>0.1691375136346891</c:v>
                </c:pt>
                <c:pt idx="1">
                  <c:v>0.16625076019058116</c:v>
                </c:pt>
                <c:pt idx="2">
                  <c:v>0.13341815560722714</c:v>
                </c:pt>
                <c:pt idx="3">
                  <c:v>3.2187145243078641E-2</c:v>
                </c:pt>
                <c:pt idx="4">
                  <c:v>6.2279662125678481E-2</c:v>
                </c:pt>
                <c:pt idx="5">
                  <c:v>0.1000748000755598</c:v>
                </c:pt>
                <c:pt idx="6">
                  <c:v>9.8449763317554506E-2</c:v>
                </c:pt>
                <c:pt idx="7">
                  <c:v>0.15449954196252857</c:v>
                </c:pt>
                <c:pt idx="8">
                  <c:v>9.4917889401916922E-2</c:v>
                </c:pt>
                <c:pt idx="9">
                  <c:v>3.3217627018614859E-2</c:v>
                </c:pt>
                <c:pt idx="10">
                  <c:v>-3.9975605208365739E-2</c:v>
                </c:pt>
                <c:pt idx="11">
                  <c:v>-6.6099148876942126E-2</c:v>
                </c:pt>
                <c:pt idx="12">
                  <c:v>-1.2986899563318777E-2</c:v>
                </c:pt>
                <c:pt idx="13">
                  <c:v>7.9459244726094003E-2</c:v>
                </c:pt>
                <c:pt idx="14">
                  <c:v>8.0493861129206978E-2</c:v>
                </c:pt>
                <c:pt idx="15">
                  <c:v>9.7381915254817208E-2</c:v>
                </c:pt>
                <c:pt idx="16">
                  <c:v>5.9534347131867893E-2</c:v>
                </c:pt>
                <c:pt idx="17">
                  <c:v>1.2221883370484354E-2</c:v>
                </c:pt>
                <c:pt idx="18">
                  <c:v>0.13090030245798601</c:v>
                </c:pt>
                <c:pt idx="19">
                  <c:v>0.16739966400894857</c:v>
                </c:pt>
                <c:pt idx="20">
                  <c:v>0.17026309768470393</c:v>
                </c:pt>
                <c:pt idx="21">
                  <c:v>0.14286214804167985</c:v>
                </c:pt>
                <c:pt idx="22">
                  <c:v>0.11022427539836221</c:v>
                </c:pt>
                <c:pt idx="23">
                  <c:v>1.6919936679928416E-2</c:v>
                </c:pt>
                <c:pt idx="24">
                  <c:v>1.9941034482844344E-3</c:v>
                </c:pt>
                <c:pt idx="25">
                  <c:v>-2.7400206615893596E-2</c:v>
                </c:pt>
                <c:pt idx="26">
                  <c:v>-0.11815187448938169</c:v>
                </c:pt>
                <c:pt idx="27">
                  <c:v>-6.7103318591669292E-2</c:v>
                </c:pt>
                <c:pt idx="28">
                  <c:v>-8.3106889535908168E-2</c:v>
                </c:pt>
                <c:pt idx="29">
                  <c:v>-4.7103436061105342E-2</c:v>
                </c:pt>
                <c:pt idx="30">
                  <c:v>4.8928570673607785E-2</c:v>
                </c:pt>
                <c:pt idx="31">
                  <c:v>5.887985225929504E-2</c:v>
                </c:pt>
              </c:numCache>
            </c:numRef>
          </c:yVal>
          <c:smooth val="0"/>
          <c:extLst>
            <c:ext xmlns:c16="http://schemas.microsoft.com/office/drawing/2014/chart" uri="{C3380CC4-5D6E-409C-BE32-E72D297353CC}">
              <c16:uniqueId val="{00000000-8FD8-4796-855D-F8A047ADB00A}"/>
            </c:ext>
          </c:extLst>
        </c:ser>
        <c:dLbls>
          <c:showLegendKey val="0"/>
          <c:showVal val="0"/>
          <c:showCatName val="0"/>
          <c:showSerName val="0"/>
          <c:showPercent val="0"/>
          <c:showBubbleSize val="0"/>
        </c:dLbls>
        <c:axId val="619944976"/>
        <c:axId val="619947136"/>
      </c:scatterChart>
      <c:valAx>
        <c:axId val="619944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7136"/>
        <c:crosses val="autoZero"/>
        <c:crossBetween val="midCat"/>
      </c:valAx>
      <c:valAx>
        <c:axId val="619947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4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Brent MXN</a:t>
            </a:r>
            <a:r>
              <a:rPr lang="en-US" baseline="0"/>
              <a:t> vs COGS yoy var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7058836395450569E-2"/>
                  <c:y val="-0.150358340624088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FAT!$F$62:$AK$62</c:f>
              <c:numCache>
                <c:formatCode>0%</c:formatCode>
                <c:ptCount val="32"/>
                <c:pt idx="0">
                  <c:v>0.74106937449053256</c:v>
                </c:pt>
                <c:pt idx="1">
                  <c:v>0.10811509593891944</c:v>
                </c:pt>
                <c:pt idx="2">
                  <c:v>5.4414556676199766E-2</c:v>
                </c:pt>
                <c:pt idx="3">
                  <c:v>0.15109761416729373</c:v>
                </c:pt>
                <c:pt idx="4">
                  <c:v>0.13592646532254804</c:v>
                </c:pt>
                <c:pt idx="5">
                  <c:v>0.54254549479568004</c:v>
                </c:pt>
                <c:pt idx="6">
                  <c:v>0.54536311097062184</c:v>
                </c:pt>
                <c:pt idx="7">
                  <c:v>0.16046363128952734</c:v>
                </c:pt>
                <c:pt idx="8">
                  <c:v>-2.9041937258918016E-2</c:v>
                </c:pt>
                <c:pt idx="9">
                  <c:v>-0.10049379076001741</c:v>
                </c:pt>
                <c:pt idx="10">
                  <c:v>-0.16067926439512303</c:v>
                </c:pt>
                <c:pt idx="11">
                  <c:v>-0.11270288468310363</c:v>
                </c:pt>
                <c:pt idx="12">
                  <c:v>-0.16487048368995283</c:v>
                </c:pt>
                <c:pt idx="13">
                  <c:v>-0.40590030599665206</c:v>
                </c:pt>
                <c:pt idx="14">
                  <c:v>-0.20614489021871396</c:v>
                </c:pt>
                <c:pt idx="15">
                  <c:v>-0.22559801405732072</c:v>
                </c:pt>
                <c:pt idx="16">
                  <c:v>0.2186060161702863</c:v>
                </c:pt>
                <c:pt idx="17">
                  <c:v>0.77645591622497889</c:v>
                </c:pt>
                <c:pt idx="18">
                  <c:v>0.5326412512919354</c:v>
                </c:pt>
                <c:pt idx="19">
                  <c:v>0.77483208849696106</c:v>
                </c:pt>
                <c:pt idx="20">
                  <c:v>0.40123281162548552</c:v>
                </c:pt>
                <c:pt idx="21">
                  <c:v>0.62312353560850453</c:v>
                </c:pt>
                <c:pt idx="22">
                  <c:v>0.34754459177382424</c:v>
                </c:pt>
                <c:pt idx="23">
                  <c:v>5.388483339254635E-2</c:v>
                </c:pt>
                <c:pt idx="24">
                  <c:v>-0.12103889766248666</c:v>
                </c:pt>
                <c:pt idx="25">
                  <c:v>-0.38660809966156839</c:v>
                </c:pt>
                <c:pt idx="26">
                  <c:v>-0.25802579003869197</c:v>
                </c:pt>
                <c:pt idx="27">
                  <c:v>-0.16568984600958814</c:v>
                </c:pt>
                <c:pt idx="28">
                  <c:v>-9.4106156198261237E-2</c:v>
                </c:pt>
                <c:pt idx="29">
                  <c:v>6.5960439925925929E-2</c:v>
                </c:pt>
                <c:pt idx="30">
                  <c:v>1.6735232876837758E-2</c:v>
                </c:pt>
                <c:pt idx="31">
                  <c:v>2.2730034894449469E-2</c:v>
                </c:pt>
              </c:numCache>
            </c:numRef>
          </c:xVal>
          <c:yVal>
            <c:numRef>
              <c:f>FAT!$F$29:$AK$29</c:f>
              <c:numCache>
                <c:formatCode>0.0%</c:formatCode>
                <c:ptCount val="32"/>
                <c:pt idx="0">
                  <c:v>0.1691375136346891</c:v>
                </c:pt>
                <c:pt idx="1">
                  <c:v>0.16625076019058116</c:v>
                </c:pt>
                <c:pt idx="2">
                  <c:v>0.13341815560722714</c:v>
                </c:pt>
                <c:pt idx="3">
                  <c:v>3.2187145243078641E-2</c:v>
                </c:pt>
                <c:pt idx="4">
                  <c:v>6.2279662125678481E-2</c:v>
                </c:pt>
                <c:pt idx="5">
                  <c:v>0.1000748000755598</c:v>
                </c:pt>
                <c:pt idx="6">
                  <c:v>9.8449763317554506E-2</c:v>
                </c:pt>
                <c:pt idx="7">
                  <c:v>0.15449954196252857</c:v>
                </c:pt>
                <c:pt idx="8">
                  <c:v>9.4917889401916922E-2</c:v>
                </c:pt>
                <c:pt idx="9">
                  <c:v>3.3217627018614859E-2</c:v>
                </c:pt>
                <c:pt idx="10">
                  <c:v>-3.9975605208365739E-2</c:v>
                </c:pt>
                <c:pt idx="11">
                  <c:v>-6.6099148876942126E-2</c:v>
                </c:pt>
                <c:pt idx="12">
                  <c:v>-1.2986899563318777E-2</c:v>
                </c:pt>
                <c:pt idx="13">
                  <c:v>7.9459244726094003E-2</c:v>
                </c:pt>
                <c:pt idx="14">
                  <c:v>8.0493861129206978E-2</c:v>
                </c:pt>
                <c:pt idx="15">
                  <c:v>9.7381915254817208E-2</c:v>
                </c:pt>
                <c:pt idx="16">
                  <c:v>5.9534347131867893E-2</c:v>
                </c:pt>
                <c:pt idx="17">
                  <c:v>1.2221883370484354E-2</c:v>
                </c:pt>
                <c:pt idx="18">
                  <c:v>0.13090030245798601</c:v>
                </c:pt>
                <c:pt idx="19">
                  <c:v>0.16739966400894857</c:v>
                </c:pt>
                <c:pt idx="20">
                  <c:v>0.17026309768470393</c:v>
                </c:pt>
                <c:pt idx="21">
                  <c:v>0.14286214804167985</c:v>
                </c:pt>
                <c:pt idx="22">
                  <c:v>0.11022427539836221</c:v>
                </c:pt>
                <c:pt idx="23">
                  <c:v>1.6919936679928416E-2</c:v>
                </c:pt>
                <c:pt idx="24">
                  <c:v>1.9941034482844344E-3</c:v>
                </c:pt>
                <c:pt idx="25">
                  <c:v>-2.7400206615893596E-2</c:v>
                </c:pt>
                <c:pt idx="26">
                  <c:v>-0.11815187448938169</c:v>
                </c:pt>
                <c:pt idx="27">
                  <c:v>-6.7103318591669292E-2</c:v>
                </c:pt>
                <c:pt idx="28">
                  <c:v>-8.3106889535908168E-2</c:v>
                </c:pt>
                <c:pt idx="29">
                  <c:v>-4.7103436061105342E-2</c:v>
                </c:pt>
                <c:pt idx="30">
                  <c:v>4.8928570673607785E-2</c:v>
                </c:pt>
                <c:pt idx="31">
                  <c:v>5.887985225929504E-2</c:v>
                </c:pt>
              </c:numCache>
            </c:numRef>
          </c:yVal>
          <c:smooth val="0"/>
          <c:extLst>
            <c:ext xmlns:c16="http://schemas.microsoft.com/office/drawing/2014/chart" uri="{C3380CC4-5D6E-409C-BE32-E72D297353CC}">
              <c16:uniqueId val="{00000001-FA3E-45D5-9901-856A092CD9D2}"/>
            </c:ext>
          </c:extLst>
        </c:ser>
        <c:dLbls>
          <c:showLegendKey val="0"/>
          <c:showVal val="0"/>
          <c:showCatName val="0"/>
          <c:showSerName val="0"/>
          <c:showPercent val="0"/>
          <c:showBubbleSize val="0"/>
        </c:dLbls>
        <c:axId val="619944976"/>
        <c:axId val="619947136"/>
      </c:scatterChart>
      <c:valAx>
        <c:axId val="619944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7136"/>
        <c:crosses val="autoZero"/>
        <c:crossBetween val="midCat"/>
      </c:valAx>
      <c:valAx>
        <c:axId val="619947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4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Brent MXN</a:t>
            </a:r>
            <a:r>
              <a:rPr lang="en-US" baseline="0"/>
              <a:t> vs COGS yoy var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7058836395450569E-2"/>
                  <c:y val="-0.150358340624088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FAT!$BQ$62:$BX$62</c:f>
              <c:numCache>
                <c:formatCode>0%</c:formatCode>
                <c:ptCount val="8"/>
                <c:pt idx="0">
                  <c:v>0.29294467030563731</c:v>
                </c:pt>
                <c:pt idx="1">
                  <c:v>0.27195560759305337</c:v>
                </c:pt>
                <c:pt idx="2">
                  <c:v>-0.12034175603065445</c:v>
                </c:pt>
                <c:pt idx="3">
                  <c:v>-0.32107426831133823</c:v>
                </c:pt>
                <c:pt idx="4">
                  <c:v>0.70278250965726663</c:v>
                </c:pt>
                <c:pt idx="5">
                  <c:v>0.34004757545189324</c:v>
                </c:pt>
                <c:pt idx="6">
                  <c:v>-0.21855015269282263</c:v>
                </c:pt>
                <c:pt idx="7">
                  <c:v>7.3660810205335991E-3</c:v>
                </c:pt>
              </c:numCache>
            </c:numRef>
          </c:xVal>
          <c:yVal>
            <c:numRef>
              <c:f>FAT!$BQ$29:$BX$29</c:f>
              <c:numCache>
                <c:formatCode>0.0%</c:formatCode>
                <c:ptCount val="8"/>
                <c:pt idx="0">
                  <c:v>0.1829245321314128</c:v>
                </c:pt>
                <c:pt idx="1">
                  <c:v>9.6768996348100655E-2</c:v>
                </c:pt>
                <c:pt idx="2">
                  <c:v>1.5818644797209291E-2</c:v>
                </c:pt>
                <c:pt idx="3">
                  <c:v>7.5722155191826346E-4</c:v>
                </c:pt>
                <c:pt idx="4">
                  <c:v>9.0975840722122614E-2</c:v>
                </c:pt>
                <c:pt idx="5">
                  <c:v>0.10765644102633765</c:v>
                </c:pt>
                <c:pt idx="6">
                  <c:v>-5.2336150758248823E-2</c:v>
                </c:pt>
                <c:pt idx="7">
                  <c:v>-8.8555488375455793E-3</c:v>
                </c:pt>
              </c:numCache>
            </c:numRef>
          </c:yVal>
          <c:smooth val="0"/>
          <c:extLst>
            <c:ext xmlns:c16="http://schemas.microsoft.com/office/drawing/2014/chart" uri="{C3380CC4-5D6E-409C-BE32-E72D297353CC}">
              <c16:uniqueId val="{00000001-F9D4-4AC6-B778-36AD8847E372}"/>
            </c:ext>
          </c:extLst>
        </c:ser>
        <c:dLbls>
          <c:showLegendKey val="0"/>
          <c:showVal val="0"/>
          <c:showCatName val="0"/>
          <c:showSerName val="0"/>
          <c:showPercent val="0"/>
          <c:showBubbleSize val="0"/>
        </c:dLbls>
        <c:axId val="619944976"/>
        <c:axId val="619947136"/>
      </c:scatterChart>
      <c:valAx>
        <c:axId val="619944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7136"/>
        <c:crosses val="autoZero"/>
        <c:crossBetween val="midCat"/>
      </c:valAx>
      <c:valAx>
        <c:axId val="619947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4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Pulp MXN</a:t>
            </a:r>
            <a:r>
              <a:rPr lang="en-US" baseline="0"/>
              <a:t> vs COGS yoy var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7058836395450569E-2"/>
                  <c:y val="-0.150358340624088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FAT!$BQ$57:$BX$57</c:f>
              <c:numCache>
                <c:formatCode>0.0%</c:formatCode>
                <c:ptCount val="8"/>
                <c:pt idx="0">
                  <c:v>0.25414564024893638</c:v>
                </c:pt>
                <c:pt idx="1">
                  <c:v>0.23198703205926319</c:v>
                </c:pt>
                <c:pt idx="2">
                  <c:v>-0.18552081980721746</c:v>
                </c:pt>
                <c:pt idx="3">
                  <c:v>-0.20450871168803197</c:v>
                </c:pt>
                <c:pt idx="4">
                  <c:v>0.53845450676690931</c:v>
                </c:pt>
                <c:pt idx="5">
                  <c:v>0.26292286185643654</c:v>
                </c:pt>
                <c:pt idx="6">
                  <c:v>-0.25792656126206237</c:v>
                </c:pt>
                <c:pt idx="7">
                  <c:v>2.2336023390282067E-2</c:v>
                </c:pt>
              </c:numCache>
            </c:numRef>
          </c:xVal>
          <c:yVal>
            <c:numRef>
              <c:f>FAT!$BQ$29:$BX$29</c:f>
              <c:numCache>
                <c:formatCode>0.0%</c:formatCode>
                <c:ptCount val="8"/>
                <c:pt idx="0">
                  <c:v>0.1829245321314128</c:v>
                </c:pt>
                <c:pt idx="1">
                  <c:v>9.6768996348100655E-2</c:v>
                </c:pt>
                <c:pt idx="2">
                  <c:v>1.5818644797209291E-2</c:v>
                </c:pt>
                <c:pt idx="3">
                  <c:v>7.5722155191826346E-4</c:v>
                </c:pt>
                <c:pt idx="4">
                  <c:v>9.0975840722122614E-2</c:v>
                </c:pt>
                <c:pt idx="5">
                  <c:v>0.10765644102633765</c:v>
                </c:pt>
                <c:pt idx="6">
                  <c:v>-5.2336150758248823E-2</c:v>
                </c:pt>
                <c:pt idx="7">
                  <c:v>-8.8555488375455793E-3</c:v>
                </c:pt>
              </c:numCache>
            </c:numRef>
          </c:yVal>
          <c:smooth val="0"/>
          <c:extLst>
            <c:ext xmlns:c16="http://schemas.microsoft.com/office/drawing/2014/chart" uri="{C3380CC4-5D6E-409C-BE32-E72D297353CC}">
              <c16:uniqueId val="{00000001-D02D-4EEA-8B35-4F1DD54E66B5}"/>
            </c:ext>
          </c:extLst>
        </c:ser>
        <c:dLbls>
          <c:showLegendKey val="0"/>
          <c:showVal val="0"/>
          <c:showCatName val="0"/>
          <c:showSerName val="0"/>
          <c:showPercent val="0"/>
          <c:showBubbleSize val="0"/>
        </c:dLbls>
        <c:axId val="619944976"/>
        <c:axId val="619947136"/>
      </c:scatterChart>
      <c:valAx>
        <c:axId val="619944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7136"/>
        <c:crosses val="autoZero"/>
        <c:crossBetween val="midCat"/>
      </c:valAx>
      <c:valAx>
        <c:axId val="619947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4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Pulp MXN</a:t>
            </a:r>
            <a:r>
              <a:rPr lang="en-US" baseline="0"/>
              <a:t> vs COGS yoy var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985192475940508"/>
                  <c:y val="-0.190788859725867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FAT!$F$57:$AK$57</c:f>
              <c:numCache>
                <c:formatCode>0.0%</c:formatCode>
                <c:ptCount val="32"/>
                <c:pt idx="0">
                  <c:v>-3.2462878430933317E-2</c:v>
                </c:pt>
                <c:pt idx="1">
                  <c:v>-8.5738706348480465E-2</c:v>
                </c:pt>
                <c:pt idx="2">
                  <c:v>7.2332505393305047E-2</c:v>
                </c:pt>
                <c:pt idx="3">
                  <c:v>0.24418579649473049</c:v>
                </c:pt>
                <c:pt idx="4">
                  <c:v>0.3246612585645281</c:v>
                </c:pt>
                <c:pt idx="5">
                  <c:v>0.55211906874241601</c:v>
                </c:pt>
                <c:pt idx="6">
                  <c:v>0.41827811105806667</c:v>
                </c:pt>
                <c:pt idx="7">
                  <c:v>0.25629852908814788</c:v>
                </c:pt>
                <c:pt idx="8">
                  <c:v>0.13919181320473761</c:v>
                </c:pt>
                <c:pt idx="9">
                  <c:v>-2.974727853597614E-2</c:v>
                </c:pt>
                <c:pt idx="10">
                  <c:v>-7.8072842025862066E-2</c:v>
                </c:pt>
                <c:pt idx="11">
                  <c:v>-0.24680355606954629</c:v>
                </c:pt>
                <c:pt idx="12">
                  <c:v>-0.30755743169466043</c:v>
                </c:pt>
                <c:pt idx="13">
                  <c:v>-0.16585981379358883</c:v>
                </c:pt>
                <c:pt idx="14">
                  <c:v>-0.17626321220923935</c:v>
                </c:pt>
                <c:pt idx="15">
                  <c:v>-0.10993402463216972</c:v>
                </c:pt>
                <c:pt idx="16">
                  <c:v>-4.6302846183342572E-3</c:v>
                </c:pt>
                <c:pt idx="17">
                  <c:v>-4.9243622421668243E-2</c:v>
                </c:pt>
                <c:pt idx="18">
                  <c:v>0.32205064811337381</c:v>
                </c:pt>
                <c:pt idx="19">
                  <c:v>0.68620678810523361</c:v>
                </c:pt>
                <c:pt idx="20">
                  <c:v>0.68978134582615991</c:v>
                </c:pt>
                <c:pt idx="21">
                  <c:v>0.52702302344688978</c:v>
                </c:pt>
                <c:pt idx="22">
                  <c:v>0.25840931708063919</c:v>
                </c:pt>
                <c:pt idx="23">
                  <c:v>0.13951482383002611</c:v>
                </c:pt>
                <c:pt idx="24">
                  <c:v>0.10129538519217984</c:v>
                </c:pt>
                <c:pt idx="25">
                  <c:v>2.6751708550230457E-2</c:v>
                </c:pt>
                <c:pt idx="26">
                  <c:v>-0.25105189920447823</c:v>
                </c:pt>
                <c:pt idx="27">
                  <c:v>-0.45376544386172013</c:v>
                </c:pt>
                <c:pt idx="28">
                  <c:v>-0.40103064864998983</c:v>
                </c:pt>
                <c:pt idx="29">
                  <c:v>-0.1887373997663554</c:v>
                </c:pt>
                <c:pt idx="30">
                  <c:v>0.12527936591395505</c:v>
                </c:pt>
                <c:pt idx="31">
                  <c:v>0.51585707310964257</c:v>
                </c:pt>
              </c:numCache>
            </c:numRef>
          </c:xVal>
          <c:yVal>
            <c:numRef>
              <c:f>FAT!$F$28:$AI$28</c:f>
              <c:numCache>
                <c:formatCode>0.0%</c:formatCode>
                <c:ptCount val="30"/>
                <c:pt idx="0">
                  <c:v>0.59909681624526212</c:v>
                </c:pt>
                <c:pt idx="1">
                  <c:v>0.60290394293926497</c:v>
                </c:pt>
                <c:pt idx="2">
                  <c:v>0.61155448596152395</c:v>
                </c:pt>
                <c:pt idx="3">
                  <c:v>0.59776636944014949</c:v>
                </c:pt>
                <c:pt idx="4">
                  <c:v>0.59421347498928712</c:v>
                </c:pt>
                <c:pt idx="5">
                  <c:v>0.60168636112165186</c:v>
                </c:pt>
                <c:pt idx="6">
                  <c:v>0.62426674749924227</c:v>
                </c:pt>
                <c:pt idx="7">
                  <c:v>0.62988987807238239</c:v>
                </c:pt>
                <c:pt idx="8">
                  <c:v>0.60295986925730893</c:v>
                </c:pt>
                <c:pt idx="9">
                  <c:v>0.58326124504238863</c:v>
                </c:pt>
                <c:pt idx="10">
                  <c:v>0.57032538461538462</c:v>
                </c:pt>
                <c:pt idx="11">
                  <c:v>0.56282047958522363</c:v>
                </c:pt>
                <c:pt idx="12">
                  <c:v>0.56060730204089249</c:v>
                </c:pt>
                <c:pt idx="13">
                  <c:v>0.57595426990711629</c:v>
                </c:pt>
                <c:pt idx="14">
                  <c:v>0.57752142695775366</c:v>
                </c:pt>
                <c:pt idx="15">
                  <c:v>0.57626556858209799</c:v>
                </c:pt>
                <c:pt idx="16">
                  <c:v>0.5735402629734514</c:v>
                </c:pt>
                <c:pt idx="17">
                  <c:v>0.61358200299636123</c:v>
                </c:pt>
                <c:pt idx="18">
                  <c:v>0.63893396124120527</c:v>
                </c:pt>
                <c:pt idx="19">
                  <c:v>0.66452364463470281</c:v>
                </c:pt>
                <c:pt idx="20">
                  <c:v>0.64637044695403212</c:v>
                </c:pt>
                <c:pt idx="21">
                  <c:v>0.63747075283828625</c:v>
                </c:pt>
                <c:pt idx="22">
                  <c:v>0.62893684539627959</c:v>
                </c:pt>
                <c:pt idx="23">
                  <c:v>0.61909649246581944</c:v>
                </c:pt>
                <c:pt idx="24">
                  <c:v>0.60105314045317004</c:v>
                </c:pt>
                <c:pt idx="25">
                  <c:v>0.58296704290308521</c:v>
                </c:pt>
                <c:pt idx="26">
                  <c:v>0.55994176077617797</c:v>
                </c:pt>
                <c:pt idx="27">
                  <c:v>0.55252750586081967</c:v>
                </c:pt>
                <c:pt idx="28">
                  <c:v>0.5414868055778651</c:v>
                </c:pt>
                <c:pt idx="29">
                  <c:v>0.54153163207278932</c:v>
                </c:pt>
              </c:numCache>
            </c:numRef>
          </c:yVal>
          <c:smooth val="0"/>
          <c:extLst>
            <c:ext xmlns:c16="http://schemas.microsoft.com/office/drawing/2014/chart" uri="{C3380CC4-5D6E-409C-BE32-E72D297353CC}">
              <c16:uniqueId val="{00000001-6AB8-48CF-83B3-49E1A1AE8346}"/>
            </c:ext>
          </c:extLst>
        </c:ser>
        <c:dLbls>
          <c:showLegendKey val="0"/>
          <c:showVal val="0"/>
          <c:showCatName val="0"/>
          <c:showSerName val="0"/>
          <c:showPercent val="0"/>
          <c:showBubbleSize val="0"/>
        </c:dLbls>
        <c:axId val="619944976"/>
        <c:axId val="619947136"/>
      </c:scatterChart>
      <c:valAx>
        <c:axId val="619944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7136"/>
        <c:crosses val="autoZero"/>
        <c:crossBetween val="midCat"/>
      </c:valAx>
      <c:valAx>
        <c:axId val="619947136"/>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44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12270341207349"/>
          <c:y val="2.5428331875182269E-2"/>
          <c:w val="0.85232174103237091"/>
          <c:h val="0.78785505978419368"/>
        </c:manualLayout>
      </c:layout>
      <c:lineChart>
        <c:grouping val="standard"/>
        <c:varyColors val="0"/>
        <c:ser>
          <c:idx val="1"/>
          <c:order val="1"/>
          <c:tx>
            <c:strRef>
              <c:f>'Raw Materials (2)'!$H$6</c:f>
              <c:strCache>
                <c:ptCount val="1"/>
              </c:strCache>
            </c:strRef>
          </c:tx>
          <c:spPr>
            <a:ln w="28575" cap="rnd">
              <a:solidFill>
                <a:schemeClr val="accent2"/>
              </a:solidFill>
              <a:round/>
            </a:ln>
            <a:effectLst/>
          </c:spPr>
          <c:marker>
            <c:symbol val="none"/>
          </c:marker>
          <c:val>
            <c:numRef>
              <c:f>'Raw Materials (2)'!$H$70:$H$157</c:f>
              <c:numCache>
                <c:formatCode>#,##0</c:formatCode>
                <c:ptCount val="88"/>
                <c:pt idx="0">
                  <c:v>-1.2677777777777237</c:v>
                </c:pt>
                <c:pt idx="1">
                  <c:v>7.0984615384614926</c:v>
                </c:pt>
                <c:pt idx="2">
                  <c:v>64.604615384615613</c:v>
                </c:pt>
                <c:pt idx="3">
                  <c:v>99.007500000000164</c:v>
                </c:pt>
                <c:pt idx="4">
                  <c:v>133.20083333333332</c:v>
                </c:pt>
                <c:pt idx="5">
                  <c:v>138.45642857142866</c:v>
                </c:pt>
                <c:pt idx="6">
                  <c:v>120.45307692307688</c:v>
                </c:pt>
                <c:pt idx="7">
                  <c:v>59.934615384615427</c:v>
                </c:pt>
                <c:pt idx="8">
                  <c:v>12.091538461538335</c:v>
                </c:pt>
                <c:pt idx="9">
                  <c:v>-13.078571428571536</c:v>
                </c:pt>
                <c:pt idx="10">
                  <c:v>-7.3366666666668152</c:v>
                </c:pt>
                <c:pt idx="11">
                  <c:v>40.003076923076833</c:v>
                </c:pt>
                <c:pt idx="12">
                  <c:v>107.98384615384617</c:v>
                </c:pt>
                <c:pt idx="13">
                  <c:v>113.72461538461539</c:v>
                </c:pt>
                <c:pt idx="14">
                  <c:v>98.206153846153939</c:v>
                </c:pt>
                <c:pt idx="15">
                  <c:v>73.459999999999923</c:v>
                </c:pt>
                <c:pt idx="16">
                  <c:v>26.719999999999914</c:v>
                </c:pt>
                <c:pt idx="17">
                  <c:v>16.020769230769247</c:v>
                </c:pt>
                <c:pt idx="18">
                  <c:v>107.04230769230776</c:v>
                </c:pt>
                <c:pt idx="19">
                  <c:v>132.66769230769228</c:v>
                </c:pt>
                <c:pt idx="20">
                  <c:v>123.53769230769217</c:v>
                </c:pt>
                <c:pt idx="21">
                  <c:v>97.676153846153738</c:v>
                </c:pt>
                <c:pt idx="22">
                  <c:v>85.65461538461534</c:v>
                </c:pt>
                <c:pt idx="23">
                  <c:v>34.115384615384528</c:v>
                </c:pt>
                <c:pt idx="24">
                  <c:v>24.351538461538553</c:v>
                </c:pt>
                <c:pt idx="25">
                  <c:v>75.775384615384553</c:v>
                </c:pt>
                <c:pt idx="26">
                  <c:v>106.08866666666671</c:v>
                </c:pt>
                <c:pt idx="27">
                  <c:v>109.19153846153864</c:v>
                </c:pt>
                <c:pt idx="28">
                  <c:v>109.68769230769237</c:v>
                </c:pt>
                <c:pt idx="29">
                  <c:v>125.77615384615393</c:v>
                </c:pt>
                <c:pt idx="30">
                  <c:v>157.35142857142858</c:v>
                </c:pt>
                <c:pt idx="31">
                  <c:v>216.63923076923083</c:v>
                </c:pt>
                <c:pt idx="32">
                  <c:v>200.81384615384604</c:v>
                </c:pt>
                <c:pt idx="33">
                  <c:v>198.09230769230783</c:v>
                </c:pt>
                <c:pt idx="34">
                  <c:v>180.69071428571408</c:v>
                </c:pt>
                <c:pt idx="35">
                  <c:v>213.25666666666655</c:v>
                </c:pt>
                <c:pt idx="36">
                  <c:v>181.49076923076927</c:v>
                </c:pt>
                <c:pt idx="37">
                  <c:v>111.84999999999991</c:v>
                </c:pt>
                <c:pt idx="38">
                  <c:v>60.366153846153907</c:v>
                </c:pt>
                <c:pt idx="39">
                  <c:v>142.70923076923054</c:v>
                </c:pt>
                <c:pt idx="40">
                  <c:v>188.43076923076922</c:v>
                </c:pt>
                <c:pt idx="41">
                  <c:v>132.63923076923072</c:v>
                </c:pt>
                <c:pt idx="42">
                  <c:v>18.800769230769333</c:v>
                </c:pt>
                <c:pt idx="43">
                  <c:v>81.779166666666697</c:v>
                </c:pt>
                <c:pt idx="44">
                  <c:v>-31.073571428571427</c:v>
                </c:pt>
                <c:pt idx="45">
                  <c:v>131.59461538461539</c:v>
                </c:pt>
                <c:pt idx="46">
                  <c:v>215.95769230769224</c:v>
                </c:pt>
                <c:pt idx="47">
                  <c:v>262.68615384615396</c:v>
                </c:pt>
                <c:pt idx="48">
                  <c:v>29.884615384615472</c:v>
                </c:pt>
                <c:pt idx="49">
                  <c:v>-503.11461538461538</c:v>
                </c:pt>
                <c:pt idx="50">
                  <c:v>-532.99076923076927</c:v>
                </c:pt>
                <c:pt idx="51">
                  <c:v>-578.37538461538452</c:v>
                </c:pt>
                <c:pt idx="52">
                  <c:v>118.39843174133557</c:v>
                </c:pt>
                <c:pt idx="53">
                  <c:v>118.39843174133557</c:v>
                </c:pt>
                <c:pt idx="54">
                  <c:v>118.39843174133557</c:v>
                </c:pt>
                <c:pt idx="55">
                  <c:v>118.39843174133557</c:v>
                </c:pt>
                <c:pt idx="56">
                  <c:v>118.39843174133557</c:v>
                </c:pt>
                <c:pt idx="57">
                  <c:v>118.39843174133557</c:v>
                </c:pt>
                <c:pt idx="58">
                  <c:v>118.39843174133557</c:v>
                </c:pt>
              </c:numCache>
            </c:numRef>
          </c:val>
          <c:smooth val="0"/>
          <c:extLst>
            <c:ext xmlns:c16="http://schemas.microsoft.com/office/drawing/2014/chart" uri="{C3380CC4-5D6E-409C-BE32-E72D297353CC}">
              <c16:uniqueId val="{00000000-4355-4532-BFDE-841D60580F8A}"/>
            </c:ext>
          </c:extLst>
        </c:ser>
        <c:ser>
          <c:idx val="2"/>
          <c:order val="2"/>
          <c:tx>
            <c:strRef>
              <c:f>'Raw Materials (2)'!$AC$7</c:f>
              <c:strCache>
                <c:ptCount val="1"/>
              </c:strCache>
            </c:strRef>
          </c:tx>
          <c:spPr>
            <a:ln w="28575" cap="rnd">
              <a:solidFill>
                <a:schemeClr val="accent3"/>
              </a:solidFill>
              <a:round/>
            </a:ln>
            <a:effectLst/>
          </c:spPr>
          <c:marker>
            <c:symbol val="none"/>
          </c:marker>
          <c:val>
            <c:numRef>
              <c:f>'Raw Materials (2)'!$AC$70:$AC$157</c:f>
              <c:numCache>
                <c:formatCode>#,##0.0</c:formatCode>
                <c:ptCount val="88"/>
              </c:numCache>
            </c:numRef>
          </c:val>
          <c:smooth val="0"/>
          <c:extLst>
            <c:ext xmlns:c16="http://schemas.microsoft.com/office/drawing/2014/chart" uri="{C3380CC4-5D6E-409C-BE32-E72D297353CC}">
              <c16:uniqueId val="{00000001-4355-4532-BFDE-841D60580F8A}"/>
            </c:ext>
          </c:extLst>
        </c:ser>
        <c:dLbls>
          <c:showLegendKey val="0"/>
          <c:showVal val="0"/>
          <c:showCatName val="0"/>
          <c:showSerName val="0"/>
          <c:showPercent val="0"/>
          <c:showBubbleSize val="0"/>
        </c:dLbls>
        <c:marker val="1"/>
        <c:smooth val="0"/>
        <c:axId val="1205541216"/>
        <c:axId val="1205541544"/>
      </c:lineChart>
      <c:lineChart>
        <c:grouping val="standard"/>
        <c:varyColors val="0"/>
        <c:ser>
          <c:idx val="0"/>
          <c:order val="0"/>
          <c:tx>
            <c:strRef>
              <c:f>'Raw Materials (2)'!$A$6</c:f>
              <c:strCache>
                <c:ptCount val="1"/>
              </c:strCache>
            </c:strRef>
          </c:tx>
          <c:spPr>
            <a:ln w="28575" cap="rnd">
              <a:solidFill>
                <a:schemeClr val="accent1"/>
              </a:solidFill>
              <a:round/>
            </a:ln>
            <a:effectLst/>
          </c:spPr>
          <c:marker>
            <c:symbol val="none"/>
          </c:marker>
          <c:val>
            <c:numRef>
              <c:f>'Raw Materials (2)'!$A$70:$A$157</c:f>
              <c:numCache>
                <c:formatCode>m/d/yyyy</c:formatCode>
                <c:ptCount val="88"/>
                <c:pt idx="0">
                  <c:v>41455</c:v>
                </c:pt>
                <c:pt idx="1">
                  <c:v>41547</c:v>
                </c:pt>
                <c:pt idx="2">
                  <c:v>41639</c:v>
                </c:pt>
                <c:pt idx="3">
                  <c:v>41729</c:v>
                </c:pt>
                <c:pt idx="4">
                  <c:v>41820</c:v>
                </c:pt>
                <c:pt idx="5">
                  <c:v>41912</c:v>
                </c:pt>
                <c:pt idx="6">
                  <c:v>42004</c:v>
                </c:pt>
                <c:pt idx="7">
                  <c:v>42094</c:v>
                </c:pt>
                <c:pt idx="8">
                  <c:v>42185</c:v>
                </c:pt>
                <c:pt idx="9">
                  <c:v>42277</c:v>
                </c:pt>
                <c:pt idx="10">
                  <c:v>42369</c:v>
                </c:pt>
                <c:pt idx="11">
                  <c:v>42460</c:v>
                </c:pt>
                <c:pt idx="12">
                  <c:v>42551</c:v>
                </c:pt>
                <c:pt idx="13">
                  <c:v>42643</c:v>
                </c:pt>
                <c:pt idx="14">
                  <c:v>42735</c:v>
                </c:pt>
                <c:pt idx="15">
                  <c:v>42825</c:v>
                </c:pt>
                <c:pt idx="16">
                  <c:v>42916</c:v>
                </c:pt>
                <c:pt idx="17">
                  <c:v>43008</c:v>
                </c:pt>
                <c:pt idx="18">
                  <c:v>43100</c:v>
                </c:pt>
                <c:pt idx="19">
                  <c:v>43190</c:v>
                </c:pt>
                <c:pt idx="20">
                  <c:v>43281</c:v>
                </c:pt>
                <c:pt idx="21">
                  <c:v>43373</c:v>
                </c:pt>
                <c:pt idx="22">
                  <c:v>43465</c:v>
                </c:pt>
                <c:pt idx="23">
                  <c:v>43555</c:v>
                </c:pt>
                <c:pt idx="24">
                  <c:v>43646</c:v>
                </c:pt>
                <c:pt idx="25">
                  <c:v>43738</c:v>
                </c:pt>
                <c:pt idx="26">
                  <c:v>43830</c:v>
                </c:pt>
                <c:pt idx="27">
                  <c:v>43921</c:v>
                </c:pt>
                <c:pt idx="28">
                  <c:v>44012</c:v>
                </c:pt>
                <c:pt idx="29">
                  <c:v>44104</c:v>
                </c:pt>
                <c:pt idx="30">
                  <c:v>44196</c:v>
                </c:pt>
                <c:pt idx="31">
                  <c:v>44286</c:v>
                </c:pt>
                <c:pt idx="32">
                  <c:v>44377</c:v>
                </c:pt>
                <c:pt idx="33">
                  <c:v>44469</c:v>
                </c:pt>
                <c:pt idx="34">
                  <c:v>44561</c:v>
                </c:pt>
                <c:pt idx="35">
                  <c:v>44651</c:v>
                </c:pt>
                <c:pt idx="36">
                  <c:v>44742</c:v>
                </c:pt>
                <c:pt idx="37">
                  <c:v>44834</c:v>
                </c:pt>
                <c:pt idx="38">
                  <c:v>44925</c:v>
                </c:pt>
                <c:pt idx="39">
                  <c:v>45016</c:v>
                </c:pt>
                <c:pt idx="40">
                  <c:v>45107</c:v>
                </c:pt>
                <c:pt idx="41">
                  <c:v>45199</c:v>
                </c:pt>
                <c:pt idx="42">
                  <c:v>45291</c:v>
                </c:pt>
                <c:pt idx="43">
                  <c:v>45382</c:v>
                </c:pt>
                <c:pt idx="44">
                  <c:v>45473</c:v>
                </c:pt>
                <c:pt idx="45">
                  <c:v>45565</c:v>
                </c:pt>
                <c:pt idx="46">
                  <c:v>45657</c:v>
                </c:pt>
                <c:pt idx="47">
                  <c:v>45747</c:v>
                </c:pt>
                <c:pt idx="48">
                  <c:v>45838</c:v>
                </c:pt>
                <c:pt idx="49">
                  <c:v>45930</c:v>
                </c:pt>
                <c:pt idx="50">
                  <c:v>46022</c:v>
                </c:pt>
                <c:pt idx="51">
                  <c:v>46112</c:v>
                </c:pt>
                <c:pt idx="52">
                  <c:v>46203</c:v>
                </c:pt>
                <c:pt idx="53">
                  <c:v>46295</c:v>
                </c:pt>
                <c:pt idx="54">
                  <c:v>46387</c:v>
                </c:pt>
                <c:pt idx="55">
                  <c:v>46477</c:v>
                </c:pt>
                <c:pt idx="56">
                  <c:v>46568</c:v>
                </c:pt>
                <c:pt idx="57">
                  <c:v>46660</c:v>
                </c:pt>
                <c:pt idx="58">
                  <c:v>46752</c:v>
                </c:pt>
              </c:numCache>
            </c:numRef>
          </c:val>
          <c:smooth val="0"/>
          <c:extLst>
            <c:ext xmlns:c15="http://schemas.microsoft.com/office/drawing/2012/chart" uri="{02D57815-91ED-43cb-92C2-25804820EDAC}">
              <c15:filteredCategoryTitle>
                <c15:cat>
                  <c:strRef>
                    <c:extLst>
                      <c:ext uri="{02D57815-91ED-43cb-92C2-25804820EDAC}">
                        <c15:formulaRef>
                          <c15:sqref>'Raw Materials (2)'!#REF!</c15:sqref>
                        </c15:formulaRef>
                      </c:ext>
                    </c:extLst>
                    <c:strCache>
                      <c:ptCount val="1"/>
                      <c:pt idx="0">
                        <c:v>#¡REF!</c:v>
                      </c:pt>
                    </c:strCache>
                  </c:strRef>
                </c15:cat>
              </c15:filteredCategoryTitle>
            </c:ext>
            <c:ext xmlns:c16="http://schemas.microsoft.com/office/drawing/2014/chart" uri="{C3380CC4-5D6E-409C-BE32-E72D297353CC}">
              <c16:uniqueId val="{00000002-4355-4532-BFDE-841D60580F8A}"/>
            </c:ext>
          </c:extLst>
        </c:ser>
        <c:dLbls>
          <c:showLegendKey val="0"/>
          <c:showVal val="0"/>
          <c:showCatName val="0"/>
          <c:showSerName val="0"/>
          <c:showPercent val="0"/>
          <c:showBubbleSize val="0"/>
        </c:dLbls>
        <c:marker val="1"/>
        <c:smooth val="0"/>
        <c:axId val="1066632976"/>
        <c:axId val="1066627728"/>
      </c:lineChart>
      <c:catAx>
        <c:axId val="1205541216"/>
        <c:scaling>
          <c:orientation val="minMax"/>
        </c:scaling>
        <c:delete val="0"/>
        <c:axPos val="b"/>
        <c:numFmt formatCode="[$-409]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544"/>
        <c:crosses val="autoZero"/>
        <c:auto val="1"/>
        <c:lblAlgn val="ctr"/>
        <c:lblOffset val="100"/>
        <c:noMultiLvlLbl val="1"/>
      </c:catAx>
      <c:valAx>
        <c:axId val="1205541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216"/>
        <c:crosses val="autoZero"/>
        <c:crossBetween val="between"/>
      </c:valAx>
      <c:valAx>
        <c:axId val="1066627728"/>
        <c:scaling>
          <c:orientation val="minMax"/>
        </c:scaling>
        <c:delete val="0"/>
        <c:axPos val="r"/>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32976"/>
        <c:crosses val="max"/>
        <c:crossBetween val="between"/>
      </c:valAx>
      <c:catAx>
        <c:axId val="1066632976"/>
        <c:scaling>
          <c:orientation val="minMax"/>
        </c:scaling>
        <c:delete val="1"/>
        <c:axPos val="b"/>
        <c:numFmt formatCode="General" sourceLinked="1"/>
        <c:majorTickMark val="out"/>
        <c:minorTickMark val="none"/>
        <c:tickLblPos val="nextTo"/>
        <c:crossAx val="1066627728"/>
        <c:crosses val="autoZero"/>
        <c:auto val="1"/>
        <c:lblAlgn val="ctr"/>
        <c:lblOffset val="100"/>
        <c:noMultiLvlLbl val="1"/>
      </c:catAx>
      <c:spPr>
        <a:noFill/>
        <a:ln>
          <a:noFill/>
        </a:ln>
        <a:effectLst/>
      </c:spPr>
    </c:plotArea>
    <c:legend>
      <c:legendPos val="r"/>
      <c:layout>
        <c:manualLayout>
          <c:xMode val="edge"/>
          <c:yMode val="edge"/>
          <c:x val="0.14265179352580926"/>
          <c:y val="5.150408282298042E-2"/>
          <c:w val="0.1282639982502187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12270341207349"/>
          <c:y val="2.5428331875182269E-2"/>
          <c:w val="0.85232174103237091"/>
          <c:h val="0.78785505978419368"/>
        </c:manualLayout>
      </c:layout>
      <c:lineChart>
        <c:grouping val="standard"/>
        <c:varyColors val="0"/>
        <c:ser>
          <c:idx val="0"/>
          <c:order val="0"/>
          <c:spPr>
            <a:ln w="28575" cap="rnd">
              <a:solidFill>
                <a:schemeClr val="accent1"/>
              </a:solidFill>
              <a:round/>
            </a:ln>
            <a:effectLst/>
          </c:spPr>
          <c:marker>
            <c:symbol val="none"/>
          </c:marker>
          <c:val>
            <c:numRef>
              <c:f>'Raw Materials (2)'!$E$70:$E$156</c:f>
              <c:numCache>
                <c:formatCode>0.00</c:formatCode>
                <c:ptCount val="87"/>
                <c:pt idx="0">
                  <c:v>810.80222222222221</c:v>
                </c:pt>
                <c:pt idx="1">
                  <c:v>794.79076923076911</c:v>
                </c:pt>
                <c:pt idx="2">
                  <c:v>770.21846153846138</c:v>
                </c:pt>
                <c:pt idx="3">
                  <c:v>767.875</c:v>
                </c:pt>
                <c:pt idx="4">
                  <c:v>751.04416666666668</c:v>
                </c:pt>
                <c:pt idx="5">
                  <c:v>728.93214285714294</c:v>
                </c:pt>
                <c:pt idx="6">
                  <c:v>735.19384615384615</c:v>
                </c:pt>
                <c:pt idx="7">
                  <c:v>749.74692307692305</c:v>
                </c:pt>
                <c:pt idx="8">
                  <c:v>781.47538461538466</c:v>
                </c:pt>
                <c:pt idx="9">
                  <c:v>804.7007142857143</c:v>
                </c:pt>
                <c:pt idx="10">
                  <c:v>801.59916666666675</c:v>
                </c:pt>
                <c:pt idx="11">
                  <c:v>762.4307692307691</c:v>
                </c:pt>
                <c:pt idx="12">
                  <c:v>693.27307692307681</c:v>
                </c:pt>
                <c:pt idx="13">
                  <c:v>671.49076923076905</c:v>
                </c:pt>
                <c:pt idx="14">
                  <c:v>655.10769230769233</c:v>
                </c:pt>
                <c:pt idx="15">
                  <c:v>680.46769230769235</c:v>
                </c:pt>
                <c:pt idx="16">
                  <c:v>782.79153846153838</c:v>
                </c:pt>
                <c:pt idx="17">
                  <c:v>873.24461538461537</c:v>
                </c:pt>
                <c:pt idx="18">
                  <c:v>941.09615384615381</c:v>
                </c:pt>
                <c:pt idx="19">
                  <c:v>1009.0246153846155</c:v>
                </c:pt>
                <c:pt idx="20">
                  <c:v>1044.3807692307691</c:v>
                </c:pt>
                <c:pt idx="21">
                  <c:v>1050</c:v>
                </c:pt>
                <c:pt idx="22">
                  <c:v>1045.166923076923</c:v>
                </c:pt>
                <c:pt idx="23">
                  <c:v>994.79307692307702</c:v>
                </c:pt>
                <c:pt idx="24">
                  <c:v>938.30461538461532</c:v>
                </c:pt>
                <c:pt idx="25">
                  <c:v>815.20461538461541</c:v>
                </c:pt>
                <c:pt idx="26">
                  <c:v>694.78266666666661</c:v>
                </c:pt>
                <c:pt idx="27">
                  <c:v>680.00076923076927</c:v>
                </c:pt>
                <c:pt idx="28">
                  <c:v>680.33384615384614</c:v>
                </c:pt>
                <c:pt idx="29">
                  <c:v>680</c:v>
                </c:pt>
                <c:pt idx="30">
                  <c:v>680</c:v>
                </c:pt>
                <c:pt idx="31">
                  <c:v>752.95384615384614</c:v>
                </c:pt>
                <c:pt idx="32">
                  <c:v>991.4484615384614</c:v>
                </c:pt>
                <c:pt idx="33">
                  <c:v>1134.8407692307692</c:v>
                </c:pt>
                <c:pt idx="34">
                  <c:v>1140</c:v>
                </c:pt>
                <c:pt idx="35">
                  <c:v>1149.2275000000002</c:v>
                </c:pt>
                <c:pt idx="36">
                  <c:v>1235.2846153846153</c:v>
                </c:pt>
                <c:pt idx="37">
                  <c:v>1364.0414285714287</c:v>
                </c:pt>
                <c:pt idx="38">
                  <c:v>1379.9892307692307</c:v>
                </c:pt>
                <c:pt idx="39">
                  <c:v>1337.2969230769231</c:v>
                </c:pt>
                <c:pt idx="40">
                  <c:v>1096.6100000000001</c:v>
                </c:pt>
                <c:pt idx="41">
                  <c:v>834.93999999999994</c:v>
                </c:pt>
                <c:pt idx="42">
                  <c:v>908.11461538461538</c:v>
                </c:pt>
                <c:pt idx="43">
                  <c:v>1111.7558333333334</c:v>
                </c:pt>
                <c:pt idx="44">
                  <c:v>1344.4392857142855</c:v>
                </c:pt>
                <c:pt idx="45">
                  <c:v>1375.0138461538461</c:v>
                </c:pt>
                <c:pt idx="46">
                  <c:v>1106.1423076923077</c:v>
                </c:pt>
                <c:pt idx="47">
                  <c:v>1064.2823076923075</c:v>
                </c:pt>
                <c:pt idx="48">
                  <c:v>1175.4976923076922</c:v>
                </c:pt>
                <c:pt idx="49">
                  <c:v>1034.7623076923078</c:v>
                </c:pt>
                <c:pt idx="50">
                  <c:v>1076.8384615384616</c:v>
                </c:pt>
                <c:pt idx="51">
                  <c:v>1138.2123899067983</c:v>
                </c:pt>
                <c:pt idx="52">
                  <c:v>1110.1264701168091</c:v>
                </c:pt>
                <c:pt idx="53">
                  <c:v>1110.1264701168091</c:v>
                </c:pt>
                <c:pt idx="54">
                  <c:v>1110.1264701168091</c:v>
                </c:pt>
                <c:pt idx="55">
                  <c:v>1110.1264701168091</c:v>
                </c:pt>
                <c:pt idx="56">
                  <c:v>1110.1264701168091</c:v>
                </c:pt>
                <c:pt idx="57">
                  <c:v>1110.1264701168091</c:v>
                </c:pt>
                <c:pt idx="58">
                  <c:v>1110.1264701168091</c:v>
                </c:pt>
              </c:numCache>
            </c:numRef>
          </c:val>
          <c:smooth val="0"/>
          <c:extLst>
            <c:ext xmlns:c15="http://schemas.microsoft.com/office/drawing/2012/chart" uri="{02D57815-91ED-43cb-92C2-25804820EDAC}">
              <c15:filteredSeriesTitle>
                <c15:tx>
                  <c:strRef>
                    <c:extLst>
                      <c:ext uri="{02D57815-91ED-43cb-92C2-25804820EDAC}">
                        <c15:formulaRef>
                          <c15:sqref>'Raw Materials (2)'!#REF!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'Raw Materials (2)'!#REF!</c15:sqref>
                        </c15:formulaRef>
                      </c:ext>
                    </c:extLst>
                    <c:strCache>
                      <c:ptCount val="1"/>
                      <c:pt idx="0">
                        <c:v>#¡REF!</c:v>
                      </c:pt>
                    </c:strCache>
                  </c:strRef>
                </c15:cat>
              </c15:filteredCategoryTitle>
            </c:ext>
            <c:ext xmlns:c16="http://schemas.microsoft.com/office/drawing/2014/chart" uri="{C3380CC4-5D6E-409C-BE32-E72D297353CC}">
              <c16:uniqueId val="{00000000-B38C-4B40-BD12-A4735BFED67A}"/>
            </c:ext>
          </c:extLst>
        </c:ser>
        <c:dLbls>
          <c:showLegendKey val="0"/>
          <c:showVal val="0"/>
          <c:showCatName val="0"/>
          <c:showSerName val="0"/>
          <c:showPercent val="0"/>
          <c:showBubbleSize val="0"/>
        </c:dLbls>
        <c:marker val="1"/>
        <c:smooth val="0"/>
        <c:axId val="1205541216"/>
        <c:axId val="1205541544"/>
      </c:lineChart>
      <c:lineChart>
        <c:grouping val="standard"/>
        <c:varyColors val="0"/>
        <c:ser>
          <c:idx val="1"/>
          <c:order val="1"/>
          <c:spPr>
            <a:ln w="28575" cap="rnd">
              <a:solidFill>
                <a:schemeClr val="accent2"/>
              </a:solidFill>
              <a:round/>
            </a:ln>
            <a:effectLst/>
          </c:spPr>
          <c:marker>
            <c:symbol val="none"/>
          </c:marker>
          <c:val>
            <c:numRef>
              <c:f>'Raw Materials (2)'!$H$70:$H$156</c:f>
              <c:numCache>
                <c:formatCode>#,##0</c:formatCode>
                <c:ptCount val="87"/>
                <c:pt idx="0">
                  <c:v>-1.2677777777777237</c:v>
                </c:pt>
                <c:pt idx="1">
                  <c:v>7.0984615384614926</c:v>
                </c:pt>
                <c:pt idx="2">
                  <c:v>64.604615384615613</c:v>
                </c:pt>
                <c:pt idx="3">
                  <c:v>99.007500000000164</c:v>
                </c:pt>
                <c:pt idx="4">
                  <c:v>133.20083333333332</c:v>
                </c:pt>
                <c:pt idx="5">
                  <c:v>138.45642857142866</c:v>
                </c:pt>
                <c:pt idx="6">
                  <c:v>120.45307692307688</c:v>
                </c:pt>
                <c:pt idx="7">
                  <c:v>59.934615384615427</c:v>
                </c:pt>
                <c:pt idx="8">
                  <c:v>12.091538461538335</c:v>
                </c:pt>
                <c:pt idx="9">
                  <c:v>-13.078571428571536</c:v>
                </c:pt>
                <c:pt idx="10">
                  <c:v>-7.3366666666668152</c:v>
                </c:pt>
                <c:pt idx="11">
                  <c:v>40.003076923076833</c:v>
                </c:pt>
                <c:pt idx="12">
                  <c:v>107.98384615384617</c:v>
                </c:pt>
                <c:pt idx="13">
                  <c:v>113.72461538461539</c:v>
                </c:pt>
                <c:pt idx="14">
                  <c:v>98.206153846153939</c:v>
                </c:pt>
                <c:pt idx="15">
                  <c:v>73.459999999999923</c:v>
                </c:pt>
                <c:pt idx="16">
                  <c:v>26.719999999999914</c:v>
                </c:pt>
                <c:pt idx="17">
                  <c:v>16.020769230769247</c:v>
                </c:pt>
                <c:pt idx="18">
                  <c:v>107.04230769230776</c:v>
                </c:pt>
                <c:pt idx="19">
                  <c:v>132.66769230769228</c:v>
                </c:pt>
                <c:pt idx="20">
                  <c:v>123.53769230769217</c:v>
                </c:pt>
                <c:pt idx="21">
                  <c:v>97.676153846153738</c:v>
                </c:pt>
                <c:pt idx="22">
                  <c:v>85.65461538461534</c:v>
                </c:pt>
                <c:pt idx="23">
                  <c:v>34.115384615384528</c:v>
                </c:pt>
                <c:pt idx="24">
                  <c:v>24.351538461538553</c:v>
                </c:pt>
                <c:pt idx="25">
                  <c:v>75.775384615384553</c:v>
                </c:pt>
                <c:pt idx="26">
                  <c:v>106.08866666666671</c:v>
                </c:pt>
                <c:pt idx="27">
                  <c:v>109.19153846153864</c:v>
                </c:pt>
                <c:pt idx="28">
                  <c:v>109.68769230769237</c:v>
                </c:pt>
                <c:pt idx="29">
                  <c:v>125.77615384615393</c:v>
                </c:pt>
                <c:pt idx="30">
                  <c:v>157.35142857142858</c:v>
                </c:pt>
                <c:pt idx="31">
                  <c:v>216.63923076923083</c:v>
                </c:pt>
                <c:pt idx="32">
                  <c:v>200.81384615384604</c:v>
                </c:pt>
                <c:pt idx="33">
                  <c:v>198.09230769230783</c:v>
                </c:pt>
                <c:pt idx="34">
                  <c:v>180.69071428571408</c:v>
                </c:pt>
                <c:pt idx="35">
                  <c:v>213.25666666666655</c:v>
                </c:pt>
                <c:pt idx="36">
                  <c:v>181.49076923076927</c:v>
                </c:pt>
                <c:pt idx="37">
                  <c:v>111.84999999999991</c:v>
                </c:pt>
                <c:pt idx="38">
                  <c:v>60.366153846153907</c:v>
                </c:pt>
                <c:pt idx="39">
                  <c:v>142.70923076923054</c:v>
                </c:pt>
                <c:pt idx="40">
                  <c:v>188.43076923076922</c:v>
                </c:pt>
                <c:pt idx="41">
                  <c:v>132.63923076923072</c:v>
                </c:pt>
                <c:pt idx="42">
                  <c:v>18.800769230769333</c:v>
                </c:pt>
                <c:pt idx="43">
                  <c:v>81.779166666666697</c:v>
                </c:pt>
                <c:pt idx="44">
                  <c:v>-31.073571428571427</c:v>
                </c:pt>
                <c:pt idx="45">
                  <c:v>131.59461538461539</c:v>
                </c:pt>
                <c:pt idx="46">
                  <c:v>215.95769230769224</c:v>
                </c:pt>
                <c:pt idx="47">
                  <c:v>262.68615384615396</c:v>
                </c:pt>
                <c:pt idx="48">
                  <c:v>29.884615384615472</c:v>
                </c:pt>
                <c:pt idx="49">
                  <c:v>-503.11461538461538</c:v>
                </c:pt>
                <c:pt idx="50">
                  <c:v>-532.99076923076927</c:v>
                </c:pt>
                <c:pt idx="51">
                  <c:v>-578.37538461538452</c:v>
                </c:pt>
                <c:pt idx="52">
                  <c:v>118.39843174133557</c:v>
                </c:pt>
                <c:pt idx="53">
                  <c:v>118.39843174133557</c:v>
                </c:pt>
                <c:pt idx="54">
                  <c:v>118.39843174133557</c:v>
                </c:pt>
                <c:pt idx="55">
                  <c:v>118.39843174133557</c:v>
                </c:pt>
                <c:pt idx="56">
                  <c:v>118.39843174133557</c:v>
                </c:pt>
                <c:pt idx="57">
                  <c:v>118.39843174133557</c:v>
                </c:pt>
                <c:pt idx="58">
                  <c:v>118.39843174133557</c:v>
                </c:pt>
              </c:numCache>
            </c:numRef>
          </c:val>
          <c:smooth val="0"/>
          <c:extLst>
            <c:ext xmlns:c15="http://schemas.microsoft.com/office/drawing/2012/chart" uri="{02D57815-91ED-43cb-92C2-25804820EDAC}">
              <c15:filteredSeriesTitle>
                <c15:tx>
                  <c:strRef>
                    <c:extLst>
                      <c:ext uri="{02D57815-91ED-43cb-92C2-25804820EDAC}">
                        <c15:formulaRef>
                          <c15:sqref>'Raw Materials (2)'!#REF!</c15:sqref>
                        </c15:formulaRef>
                      </c:ext>
                    </c:extLst>
                    <c:strCache>
                      <c:ptCount val="1"/>
                      <c:pt idx="0">
                        <c:v>#¡REF!</c:v>
                      </c:pt>
                    </c:strCache>
                  </c:strRef>
                </c15:tx>
              </c15:filteredSeriesTitle>
            </c:ext>
            <c:ext xmlns:c16="http://schemas.microsoft.com/office/drawing/2014/chart" uri="{C3380CC4-5D6E-409C-BE32-E72D297353CC}">
              <c16:uniqueId val="{00000001-B38C-4B40-BD12-A4735BFED67A}"/>
            </c:ext>
          </c:extLst>
        </c:ser>
        <c:dLbls>
          <c:showLegendKey val="0"/>
          <c:showVal val="0"/>
          <c:showCatName val="0"/>
          <c:showSerName val="0"/>
          <c:showPercent val="0"/>
          <c:showBubbleSize val="0"/>
        </c:dLbls>
        <c:marker val="1"/>
        <c:smooth val="0"/>
        <c:axId val="1170139072"/>
        <c:axId val="1170136776"/>
      </c:lineChart>
      <c:catAx>
        <c:axId val="1205541216"/>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544"/>
        <c:crosses val="autoZero"/>
        <c:auto val="1"/>
        <c:lblAlgn val="ctr"/>
        <c:lblOffset val="100"/>
        <c:noMultiLvlLbl val="1"/>
      </c:catAx>
      <c:valAx>
        <c:axId val="1205541544"/>
        <c:scaling>
          <c:orientation val="maxMin"/>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216"/>
        <c:crosses val="autoZero"/>
        <c:crossBetween val="between"/>
      </c:valAx>
      <c:valAx>
        <c:axId val="11701367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139072"/>
        <c:crosses val="max"/>
        <c:crossBetween val="between"/>
      </c:valAx>
      <c:catAx>
        <c:axId val="1170139072"/>
        <c:scaling>
          <c:orientation val="minMax"/>
        </c:scaling>
        <c:delete val="1"/>
        <c:axPos val="b"/>
        <c:majorTickMark val="out"/>
        <c:minorTickMark val="none"/>
        <c:tickLblPos val="nextTo"/>
        <c:crossAx val="1170136776"/>
        <c:crosses val="autoZero"/>
        <c:auto val="1"/>
        <c:lblAlgn val="ctr"/>
        <c:lblOffset val="100"/>
        <c:noMultiLvlLbl val="0"/>
      </c:catAx>
      <c:spPr>
        <a:noFill/>
        <a:ln>
          <a:noFill/>
        </a:ln>
        <a:effectLst/>
      </c:spPr>
    </c:plotArea>
    <c:legend>
      <c:legendPos val="r"/>
      <c:layout>
        <c:manualLayout>
          <c:xMode val="edge"/>
          <c:yMode val="edge"/>
          <c:x val="0.62598512685914265"/>
          <c:y val="0.19502260134149893"/>
          <c:w val="0.276792650918635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'Raw Materials (2)'!$Y$114:$Y$157</c:f>
              <c:numCache>
                <c:formatCode>m/d/yyyy</c:formatCode>
                <c:ptCount val="44"/>
              </c:numCache>
            </c:numRef>
          </c:cat>
          <c:val>
            <c:numRef>
              <c:f>'Raw Materials (2)'!$AC$114:$AC$157</c:f>
              <c:numCache>
                <c:formatCode>#,##0.0</c:formatCode>
                <c:ptCount val="44"/>
              </c:numCache>
            </c:numRef>
          </c:val>
          <c:smooth val="0"/>
          <c:extLst>
            <c:ext xmlns:c16="http://schemas.microsoft.com/office/drawing/2014/chart" uri="{C3380CC4-5D6E-409C-BE32-E72D297353CC}">
              <c16:uniqueId val="{00000000-055F-46A3-90F6-9A826BD00083}"/>
            </c:ext>
          </c:extLst>
        </c:ser>
        <c:dLbls>
          <c:showLegendKey val="0"/>
          <c:showVal val="0"/>
          <c:showCatName val="0"/>
          <c:showSerName val="0"/>
          <c:showPercent val="0"/>
          <c:showBubbleSize val="0"/>
        </c:dLbls>
        <c:marker val="1"/>
        <c:smooth val="0"/>
        <c:axId val="1284595952"/>
        <c:axId val="1094765568"/>
      </c:lineChart>
      <c:lineChart>
        <c:grouping val="standard"/>
        <c:varyColors val="0"/>
        <c:ser>
          <c:idx val="1"/>
          <c:order val="1"/>
          <c:spPr>
            <a:ln w="28575" cap="rnd">
              <a:solidFill>
                <a:schemeClr val="accent2"/>
              </a:solidFill>
              <a:round/>
            </a:ln>
            <a:effectLst/>
          </c:spPr>
          <c:marker>
            <c:symbol val="none"/>
          </c:marker>
          <c:val>
            <c:numRef>
              <c:f>'Raw Materials (2)'!$A$114:$A$157</c:f>
              <c:numCache>
                <c:formatCode>m/d/yyyy</c:formatCode>
                <c:ptCount val="44"/>
                <c:pt idx="0">
                  <c:v>45473</c:v>
                </c:pt>
                <c:pt idx="1">
                  <c:v>45565</c:v>
                </c:pt>
                <c:pt idx="2">
                  <c:v>45657</c:v>
                </c:pt>
                <c:pt idx="3">
                  <c:v>45747</c:v>
                </c:pt>
                <c:pt idx="4">
                  <c:v>45838</c:v>
                </c:pt>
                <c:pt idx="5">
                  <c:v>45930</c:v>
                </c:pt>
                <c:pt idx="6">
                  <c:v>46022</c:v>
                </c:pt>
                <c:pt idx="7">
                  <c:v>46112</c:v>
                </c:pt>
                <c:pt idx="8">
                  <c:v>46203</c:v>
                </c:pt>
                <c:pt idx="9">
                  <c:v>46295</c:v>
                </c:pt>
                <c:pt idx="10">
                  <c:v>46387</c:v>
                </c:pt>
                <c:pt idx="11">
                  <c:v>46477</c:v>
                </c:pt>
                <c:pt idx="12">
                  <c:v>46568</c:v>
                </c:pt>
                <c:pt idx="13">
                  <c:v>46660</c:v>
                </c:pt>
                <c:pt idx="14">
                  <c:v>46752</c:v>
                </c:pt>
              </c:numCache>
            </c:numRef>
          </c:val>
          <c:smooth val="0"/>
          <c:extLst>
            <c:ext xmlns:c16="http://schemas.microsoft.com/office/drawing/2014/chart" uri="{C3380CC4-5D6E-409C-BE32-E72D297353CC}">
              <c16:uniqueId val="{00000001-055F-46A3-90F6-9A826BD00083}"/>
            </c:ext>
          </c:extLst>
        </c:ser>
        <c:dLbls>
          <c:showLegendKey val="0"/>
          <c:showVal val="0"/>
          <c:showCatName val="0"/>
          <c:showSerName val="0"/>
          <c:showPercent val="0"/>
          <c:showBubbleSize val="0"/>
        </c:dLbls>
        <c:marker val="1"/>
        <c:smooth val="0"/>
        <c:axId val="1209718184"/>
        <c:axId val="1209714904"/>
      </c:lineChart>
      <c:catAx>
        <c:axId val="128459595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65568"/>
        <c:crosses val="autoZero"/>
        <c:auto val="1"/>
        <c:lblAlgn val="ctr"/>
        <c:lblOffset val="100"/>
        <c:noMultiLvlLbl val="1"/>
      </c:catAx>
      <c:valAx>
        <c:axId val="1094765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595952"/>
        <c:crosses val="autoZero"/>
        <c:crossBetween val="between"/>
      </c:valAx>
      <c:valAx>
        <c:axId val="1209714904"/>
        <c:scaling>
          <c:orientation val="minMax"/>
        </c:scaling>
        <c:delete val="0"/>
        <c:axPos val="r"/>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718184"/>
        <c:crosses val="max"/>
        <c:crossBetween val="between"/>
      </c:valAx>
      <c:catAx>
        <c:axId val="1209718184"/>
        <c:scaling>
          <c:orientation val="minMax"/>
        </c:scaling>
        <c:delete val="1"/>
        <c:axPos val="b"/>
        <c:majorTickMark val="out"/>
        <c:minorTickMark val="none"/>
        <c:tickLblPos val="nextTo"/>
        <c:crossAx val="1209714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12270341207349"/>
          <c:y val="2.5428331875182269E-2"/>
          <c:w val="0.85232174103237091"/>
          <c:h val="0.76007728200641589"/>
        </c:manualLayout>
      </c:layout>
      <c:lineChart>
        <c:grouping val="standard"/>
        <c:varyColors val="0"/>
        <c:ser>
          <c:idx val="0"/>
          <c:order val="0"/>
          <c:tx>
            <c:strRef>
              <c:f>'Raw Materials (2)'!$AG$7</c:f>
              <c:strCache>
                <c:ptCount val="1"/>
              </c:strCache>
            </c:strRef>
          </c:tx>
          <c:spPr>
            <a:ln w="28575" cap="rnd">
              <a:solidFill>
                <a:schemeClr val="accent1"/>
              </a:solidFill>
              <a:round/>
            </a:ln>
            <a:effectLst/>
          </c:spPr>
          <c:marker>
            <c:symbol val="none"/>
          </c:marker>
          <c:cat>
            <c:numRef>
              <c:f>'Raw Materials (2)'!$Y$77:$Y$257</c:f>
              <c:numCache>
                <c:formatCode>m/d/yyyy</c:formatCode>
                <c:ptCount val="181"/>
              </c:numCache>
            </c:numRef>
          </c:cat>
          <c:val>
            <c:numRef>
              <c:f>'Raw Materials (2)'!$AG$77:$AG$257</c:f>
              <c:numCache>
                <c:formatCode>#,##0.0</c:formatCode>
                <c:ptCount val="181"/>
              </c:numCache>
            </c:numRef>
          </c:val>
          <c:smooth val="0"/>
          <c:extLst>
            <c:ext xmlns:c16="http://schemas.microsoft.com/office/drawing/2014/chart" uri="{C3380CC4-5D6E-409C-BE32-E72D297353CC}">
              <c16:uniqueId val="{00000000-8205-4577-ADDA-BC727628E999}"/>
            </c:ext>
          </c:extLst>
        </c:ser>
        <c:ser>
          <c:idx val="1"/>
          <c:order val="1"/>
          <c:tx>
            <c:strRef>
              <c:f>'Raw Materials (2)'!$AH$7</c:f>
              <c:strCache>
                <c:ptCount val="1"/>
              </c:strCache>
            </c:strRef>
          </c:tx>
          <c:spPr>
            <a:ln w="28575" cap="rnd">
              <a:solidFill>
                <a:schemeClr val="accent2"/>
              </a:solidFill>
              <a:round/>
            </a:ln>
            <a:effectLst/>
          </c:spPr>
          <c:marker>
            <c:symbol val="none"/>
          </c:marker>
          <c:cat>
            <c:numRef>
              <c:f>'Raw Materials (2)'!$Y$77:$Y$257</c:f>
              <c:numCache>
                <c:formatCode>m/d/yyyy</c:formatCode>
                <c:ptCount val="181"/>
              </c:numCache>
            </c:numRef>
          </c:cat>
          <c:val>
            <c:numRef>
              <c:f>'Raw Materials (2)'!$AH$77:$AH$257</c:f>
              <c:numCache>
                <c:formatCode>#,##0.0</c:formatCode>
                <c:ptCount val="181"/>
              </c:numCache>
            </c:numRef>
          </c:val>
          <c:smooth val="0"/>
          <c:extLst>
            <c:ext xmlns:c16="http://schemas.microsoft.com/office/drawing/2014/chart" uri="{C3380CC4-5D6E-409C-BE32-E72D297353CC}">
              <c16:uniqueId val="{00000001-8205-4577-ADDA-BC727628E999}"/>
            </c:ext>
          </c:extLst>
        </c:ser>
        <c:ser>
          <c:idx val="2"/>
          <c:order val="2"/>
          <c:tx>
            <c:strRef>
              <c:f>'Raw Materials (2)'!$AI$7</c:f>
              <c:strCache>
                <c:ptCount val="1"/>
              </c:strCache>
            </c:strRef>
          </c:tx>
          <c:spPr>
            <a:ln w="28575" cap="rnd">
              <a:solidFill>
                <a:schemeClr val="accent3"/>
              </a:solidFill>
              <a:round/>
            </a:ln>
            <a:effectLst/>
          </c:spPr>
          <c:marker>
            <c:symbol val="none"/>
          </c:marker>
          <c:cat>
            <c:numRef>
              <c:f>'Raw Materials (2)'!$Y$77:$Y$257</c:f>
              <c:numCache>
                <c:formatCode>m/d/yyyy</c:formatCode>
                <c:ptCount val="181"/>
              </c:numCache>
            </c:numRef>
          </c:cat>
          <c:val>
            <c:numRef>
              <c:f>'Raw Materials (2)'!$AI$77:$AI$257</c:f>
              <c:numCache>
                <c:formatCode>#,##0.0</c:formatCode>
                <c:ptCount val="181"/>
              </c:numCache>
            </c:numRef>
          </c:val>
          <c:smooth val="0"/>
          <c:extLst>
            <c:ext xmlns:c16="http://schemas.microsoft.com/office/drawing/2014/chart" uri="{C3380CC4-5D6E-409C-BE32-E72D297353CC}">
              <c16:uniqueId val="{00000002-8205-4577-ADDA-BC727628E999}"/>
            </c:ext>
          </c:extLst>
        </c:ser>
        <c:ser>
          <c:idx val="3"/>
          <c:order val="3"/>
          <c:tx>
            <c:strRef>
              <c:f>'Raw Materials (2)'!$AJ$7</c:f>
              <c:strCache>
                <c:ptCount val="1"/>
              </c:strCache>
            </c:strRef>
          </c:tx>
          <c:spPr>
            <a:ln w="28575" cap="rnd">
              <a:solidFill>
                <a:schemeClr val="accent4"/>
              </a:solidFill>
              <a:round/>
            </a:ln>
            <a:effectLst/>
          </c:spPr>
          <c:marker>
            <c:symbol val="none"/>
          </c:marker>
          <c:cat>
            <c:numRef>
              <c:f>'Raw Materials (2)'!$Y$77:$Y$257</c:f>
              <c:numCache>
                <c:formatCode>m/d/yyyy</c:formatCode>
                <c:ptCount val="181"/>
              </c:numCache>
            </c:numRef>
          </c:cat>
          <c:val>
            <c:numRef>
              <c:f>'Raw Materials (2)'!$AJ$77:$AJ$257</c:f>
              <c:numCache>
                <c:formatCode>#,##0.0</c:formatCode>
                <c:ptCount val="181"/>
              </c:numCache>
            </c:numRef>
          </c:val>
          <c:smooth val="0"/>
          <c:extLst>
            <c:ext xmlns:c16="http://schemas.microsoft.com/office/drawing/2014/chart" uri="{C3380CC4-5D6E-409C-BE32-E72D297353CC}">
              <c16:uniqueId val="{00000003-8205-4577-ADDA-BC727628E999}"/>
            </c:ext>
          </c:extLst>
        </c:ser>
        <c:dLbls>
          <c:showLegendKey val="0"/>
          <c:showVal val="0"/>
          <c:showCatName val="0"/>
          <c:showSerName val="0"/>
          <c:showPercent val="0"/>
          <c:showBubbleSize val="0"/>
        </c:dLbls>
        <c:smooth val="0"/>
        <c:axId val="1205541216"/>
        <c:axId val="1205541544"/>
      </c:lineChart>
      <c:catAx>
        <c:axId val="120554121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544"/>
        <c:crosses val="autoZero"/>
        <c:auto val="1"/>
        <c:lblAlgn val="ctr"/>
        <c:lblOffset val="100"/>
        <c:noMultiLvlLbl val="1"/>
      </c:catAx>
      <c:valAx>
        <c:axId val="1205541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216"/>
        <c:crosses val="autoZero"/>
        <c:crossBetween val="between"/>
      </c:valAx>
      <c:spPr>
        <a:noFill/>
        <a:ln>
          <a:noFill/>
        </a:ln>
        <a:effectLst/>
      </c:spPr>
    </c:plotArea>
    <c:legend>
      <c:legendPos val="r"/>
      <c:layout>
        <c:manualLayout>
          <c:xMode val="edge"/>
          <c:yMode val="edge"/>
          <c:x val="0.14265179352580926"/>
          <c:y val="5.150408282298042E-2"/>
          <c:w val="0.1282639982502187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12270341207349"/>
          <c:y val="2.5428331875182269E-2"/>
          <c:w val="0.85232174103237091"/>
          <c:h val="0.76007728200641589"/>
        </c:manualLayout>
      </c:layout>
      <c:lineChart>
        <c:grouping val="standard"/>
        <c:varyColors val="0"/>
        <c:ser>
          <c:idx val="2"/>
          <c:order val="0"/>
          <c:tx>
            <c:strRef>
              <c:f>'Raw Materials (2)'!$AI$7</c:f>
              <c:strCache>
                <c:ptCount val="1"/>
              </c:strCache>
            </c:strRef>
          </c:tx>
          <c:spPr>
            <a:ln w="28575" cap="rnd">
              <a:solidFill>
                <a:schemeClr val="accent3"/>
              </a:solidFill>
              <a:round/>
            </a:ln>
            <a:effectLst/>
          </c:spPr>
          <c:marker>
            <c:symbol val="none"/>
          </c:marker>
          <c:cat>
            <c:numRef>
              <c:f>'Raw Materials (2)'!$Y$77:$Y$159</c:f>
              <c:numCache>
                <c:formatCode>m/d/yyyy</c:formatCode>
                <c:ptCount val="83"/>
              </c:numCache>
            </c:numRef>
          </c:cat>
          <c:val>
            <c:numRef>
              <c:f>'Raw Materials (2)'!$AC$77:$AC$159</c:f>
              <c:numCache>
                <c:formatCode>#,##0.0</c:formatCode>
                <c:ptCount val="83"/>
              </c:numCache>
            </c:numRef>
          </c:val>
          <c:smooth val="0"/>
          <c:extLst>
            <c:ext xmlns:c16="http://schemas.microsoft.com/office/drawing/2014/chart" uri="{C3380CC4-5D6E-409C-BE32-E72D297353CC}">
              <c16:uniqueId val="{00000000-B0CE-4968-A559-438834AA0445}"/>
            </c:ext>
          </c:extLst>
        </c:ser>
        <c:dLbls>
          <c:showLegendKey val="0"/>
          <c:showVal val="0"/>
          <c:showCatName val="0"/>
          <c:showSerName val="0"/>
          <c:showPercent val="0"/>
          <c:showBubbleSize val="0"/>
        </c:dLbls>
        <c:smooth val="0"/>
        <c:axId val="1205541216"/>
        <c:axId val="1205541544"/>
      </c:lineChart>
      <c:catAx>
        <c:axId val="120554121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544"/>
        <c:crosses val="autoZero"/>
        <c:auto val="1"/>
        <c:lblAlgn val="ctr"/>
        <c:lblOffset val="100"/>
        <c:noMultiLvlLbl val="1"/>
      </c:catAx>
      <c:valAx>
        <c:axId val="12055415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216"/>
        <c:crosses val="autoZero"/>
        <c:crossBetween val="between"/>
      </c:valAx>
      <c:spPr>
        <a:noFill/>
        <a:ln>
          <a:noFill/>
        </a:ln>
        <a:effectLst/>
      </c:spPr>
    </c:plotArea>
    <c:legend>
      <c:legendPos val="r"/>
      <c:layout>
        <c:manualLayout>
          <c:xMode val="edge"/>
          <c:yMode val="edge"/>
          <c:x val="0.14265179352580926"/>
          <c:y val="5.150408282298042E-2"/>
          <c:w val="0.1282639982502187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12270341207349"/>
          <c:y val="2.5428331875182269E-2"/>
          <c:w val="0.85232174103237091"/>
          <c:h val="0.76007728200641589"/>
        </c:manualLayout>
      </c:layout>
      <c:lineChart>
        <c:grouping val="standard"/>
        <c:varyColors val="0"/>
        <c:ser>
          <c:idx val="3"/>
          <c:order val="0"/>
          <c:tx>
            <c:strRef>
              <c:f>'Raw Materials (2)'!$AJ$7</c:f>
              <c:strCache>
                <c:ptCount val="1"/>
              </c:strCache>
            </c:strRef>
          </c:tx>
          <c:spPr>
            <a:ln w="28575" cap="rnd">
              <a:solidFill>
                <a:schemeClr val="accent4"/>
              </a:solidFill>
              <a:round/>
            </a:ln>
            <a:effectLst/>
          </c:spPr>
          <c:marker>
            <c:symbol val="none"/>
          </c:marker>
          <c:cat>
            <c:numRef>
              <c:f>'Raw Materials (2)'!$Y$77:$Y$257</c:f>
              <c:numCache>
                <c:formatCode>m/d/yyyy</c:formatCode>
                <c:ptCount val="181"/>
              </c:numCache>
            </c:numRef>
          </c:cat>
          <c:val>
            <c:numRef>
              <c:f>'Raw Materials (2)'!$AJ$77:$AJ$257</c:f>
              <c:numCache>
                <c:formatCode>#,##0.0</c:formatCode>
                <c:ptCount val="181"/>
              </c:numCache>
            </c:numRef>
          </c:val>
          <c:smooth val="0"/>
          <c:extLst>
            <c:ext xmlns:c16="http://schemas.microsoft.com/office/drawing/2014/chart" uri="{C3380CC4-5D6E-409C-BE32-E72D297353CC}">
              <c16:uniqueId val="{00000000-8B15-4C19-9C05-5B357520D7DF}"/>
            </c:ext>
          </c:extLst>
        </c:ser>
        <c:dLbls>
          <c:showLegendKey val="0"/>
          <c:showVal val="0"/>
          <c:showCatName val="0"/>
          <c:showSerName val="0"/>
          <c:showPercent val="0"/>
          <c:showBubbleSize val="0"/>
        </c:dLbls>
        <c:smooth val="0"/>
        <c:axId val="1205541216"/>
        <c:axId val="1205541544"/>
      </c:lineChart>
      <c:catAx>
        <c:axId val="120554121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544"/>
        <c:crosses val="autoZero"/>
        <c:auto val="1"/>
        <c:lblAlgn val="ctr"/>
        <c:lblOffset val="100"/>
        <c:noMultiLvlLbl val="1"/>
      </c:catAx>
      <c:valAx>
        <c:axId val="1205541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41216"/>
        <c:crosses val="autoZero"/>
        <c:crossBetween val="between"/>
      </c:valAx>
      <c:spPr>
        <a:noFill/>
        <a:ln>
          <a:noFill/>
        </a:ln>
        <a:effectLst/>
      </c:spPr>
    </c:plotArea>
    <c:legend>
      <c:legendPos val="r"/>
      <c:layout>
        <c:manualLayout>
          <c:xMode val="edge"/>
          <c:yMode val="edge"/>
          <c:x val="0.14265179352580926"/>
          <c:y val="5.150408282298042E-2"/>
          <c:w val="0.1282639982502187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SW - HW Spread EU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China HW</c:v>
          </c:tx>
          <c:spPr>
            <a:ln w="28575" cap="rnd">
              <a:solidFill>
                <a:schemeClr val="accent1"/>
              </a:solidFill>
              <a:round/>
            </a:ln>
            <a:effectLst/>
          </c:spPr>
          <c:marker>
            <c:symbol val="none"/>
          </c:marker>
          <c:cat>
            <c:numRef>
              <c:f>'Raw Materials (2)'!$B$69:$B$128</c:f>
              <c:numCache>
                <c:formatCode>[$-409]mmm\-yy;@</c:formatCode>
                <c:ptCount val="60"/>
                <c:pt idx="0">
                  <c:v>41364</c:v>
                </c:pt>
                <c:pt idx="1">
                  <c:v>41455</c:v>
                </c:pt>
                <c:pt idx="2">
                  <c:v>41547</c:v>
                </c:pt>
                <c:pt idx="3">
                  <c:v>41639</c:v>
                </c:pt>
                <c:pt idx="4">
                  <c:v>41729</c:v>
                </c:pt>
                <c:pt idx="5">
                  <c:v>41820</c:v>
                </c:pt>
                <c:pt idx="6">
                  <c:v>41912</c:v>
                </c:pt>
                <c:pt idx="7">
                  <c:v>42004</c:v>
                </c:pt>
                <c:pt idx="8">
                  <c:v>42094</c:v>
                </c:pt>
                <c:pt idx="9">
                  <c:v>42185</c:v>
                </c:pt>
                <c:pt idx="10">
                  <c:v>42277</c:v>
                </c:pt>
                <c:pt idx="11">
                  <c:v>42369</c:v>
                </c:pt>
                <c:pt idx="12">
                  <c:v>42460</c:v>
                </c:pt>
                <c:pt idx="13">
                  <c:v>42551</c:v>
                </c:pt>
                <c:pt idx="14">
                  <c:v>42643</c:v>
                </c:pt>
                <c:pt idx="15">
                  <c:v>42735</c:v>
                </c:pt>
                <c:pt idx="16">
                  <c:v>42825</c:v>
                </c:pt>
                <c:pt idx="17">
                  <c:v>42916</c:v>
                </c:pt>
                <c:pt idx="18">
                  <c:v>43008</c:v>
                </c:pt>
                <c:pt idx="19">
                  <c:v>43100</c:v>
                </c:pt>
                <c:pt idx="20">
                  <c:v>43190</c:v>
                </c:pt>
                <c:pt idx="21">
                  <c:v>43281</c:v>
                </c:pt>
                <c:pt idx="22">
                  <c:v>43373</c:v>
                </c:pt>
                <c:pt idx="23">
                  <c:v>43465</c:v>
                </c:pt>
                <c:pt idx="24">
                  <c:v>43555</c:v>
                </c:pt>
                <c:pt idx="25">
                  <c:v>43646</c:v>
                </c:pt>
                <c:pt idx="26">
                  <c:v>43738</c:v>
                </c:pt>
                <c:pt idx="27">
                  <c:v>43830</c:v>
                </c:pt>
                <c:pt idx="28">
                  <c:v>43921</c:v>
                </c:pt>
                <c:pt idx="29">
                  <c:v>44012</c:v>
                </c:pt>
                <c:pt idx="30">
                  <c:v>44104</c:v>
                </c:pt>
                <c:pt idx="31">
                  <c:v>44196</c:v>
                </c:pt>
                <c:pt idx="32">
                  <c:v>44286</c:v>
                </c:pt>
                <c:pt idx="33">
                  <c:v>44377</c:v>
                </c:pt>
                <c:pt idx="34">
                  <c:v>44469</c:v>
                </c:pt>
                <c:pt idx="35">
                  <c:v>44561</c:v>
                </c:pt>
                <c:pt idx="36">
                  <c:v>44651</c:v>
                </c:pt>
                <c:pt idx="37">
                  <c:v>44742</c:v>
                </c:pt>
                <c:pt idx="38">
                  <c:v>44834</c:v>
                </c:pt>
                <c:pt idx="39">
                  <c:v>44925</c:v>
                </c:pt>
                <c:pt idx="40">
                  <c:v>45016</c:v>
                </c:pt>
                <c:pt idx="41">
                  <c:v>45107</c:v>
                </c:pt>
                <c:pt idx="42">
                  <c:v>45199</c:v>
                </c:pt>
                <c:pt idx="43">
                  <c:v>45291</c:v>
                </c:pt>
                <c:pt idx="44">
                  <c:v>45382</c:v>
                </c:pt>
                <c:pt idx="45">
                  <c:v>45473</c:v>
                </c:pt>
                <c:pt idx="46">
                  <c:v>45565</c:v>
                </c:pt>
                <c:pt idx="47">
                  <c:v>45657</c:v>
                </c:pt>
                <c:pt idx="48">
                  <c:v>45747</c:v>
                </c:pt>
                <c:pt idx="49">
                  <c:v>45838</c:v>
                </c:pt>
                <c:pt idx="50">
                  <c:v>45930</c:v>
                </c:pt>
                <c:pt idx="51">
                  <c:v>46022</c:v>
                </c:pt>
                <c:pt idx="52">
                  <c:v>46112</c:v>
                </c:pt>
                <c:pt idx="53">
                  <c:v>46203</c:v>
                </c:pt>
                <c:pt idx="54">
                  <c:v>46295</c:v>
                </c:pt>
                <c:pt idx="55">
                  <c:v>46387</c:v>
                </c:pt>
                <c:pt idx="56">
                  <c:v>46477</c:v>
                </c:pt>
                <c:pt idx="57">
                  <c:v>46568</c:v>
                </c:pt>
                <c:pt idx="58">
                  <c:v>46660</c:v>
                </c:pt>
                <c:pt idx="59">
                  <c:v>46752</c:v>
                </c:pt>
              </c:numCache>
            </c:numRef>
          </c:cat>
          <c:val>
            <c:numRef>
              <c:f>'Raw Materials (2)'!$C$69:$C$128</c:f>
              <c:numCache>
                <c:formatCode>0.00</c:formatCode>
                <c:ptCount val="60"/>
                <c:pt idx="0">
                  <c:v>661.33833333333325</c:v>
                </c:pt>
                <c:pt idx="1">
                  <c:v>695.39666666666665</c:v>
                </c:pt>
                <c:pt idx="2">
                  <c:v>674.4153846153846</c:v>
                </c:pt>
                <c:pt idx="3">
                  <c:v>658.42230769230753</c:v>
                </c:pt>
                <c:pt idx="4">
                  <c:v>651.48333333333323</c:v>
                </c:pt>
                <c:pt idx="5">
                  <c:v>603.255</c:v>
                </c:pt>
                <c:pt idx="6">
                  <c:v>585.64857142857124</c:v>
                </c:pt>
                <c:pt idx="7">
                  <c:v>598.77461538461534</c:v>
                </c:pt>
                <c:pt idx="8">
                  <c:v>622.31153846153836</c:v>
                </c:pt>
                <c:pt idx="9">
                  <c:v>653.56846153846163</c:v>
                </c:pt>
                <c:pt idx="10">
                  <c:v>662.19214285714293</c:v>
                </c:pt>
                <c:pt idx="11">
                  <c:v>621.68166666666673</c:v>
                </c:pt>
                <c:pt idx="12">
                  <c:v>553.69384615384615</c:v>
                </c:pt>
                <c:pt idx="13">
                  <c:v>500.21923076923082</c:v>
                </c:pt>
                <c:pt idx="14">
                  <c:v>486.6615384615385</c:v>
                </c:pt>
                <c:pt idx="15">
                  <c:v>494.68923076923068</c:v>
                </c:pt>
                <c:pt idx="16">
                  <c:v>559.91384615384618</c:v>
                </c:pt>
                <c:pt idx="17">
                  <c:v>618.16923076923081</c:v>
                </c:pt>
                <c:pt idx="18">
                  <c:v>643.66384615384607</c:v>
                </c:pt>
                <c:pt idx="19">
                  <c:v>724.14230769230755</c:v>
                </c:pt>
                <c:pt idx="20">
                  <c:v>759.79769230769239</c:v>
                </c:pt>
                <c:pt idx="21">
                  <c:v>769.04153846153849</c:v>
                </c:pt>
                <c:pt idx="22">
                  <c:v>769.80076923076922</c:v>
                </c:pt>
                <c:pt idx="23">
                  <c:v>741.04923076923069</c:v>
                </c:pt>
                <c:pt idx="24">
                  <c:v>668.27615384615376</c:v>
                </c:pt>
                <c:pt idx="25">
                  <c:v>648.01615384615377</c:v>
                </c:pt>
                <c:pt idx="26">
                  <c:v>494.50923076923078</c:v>
                </c:pt>
                <c:pt idx="27">
                  <c:v>459.83</c:v>
                </c:pt>
                <c:pt idx="28">
                  <c:v>461.42923076923074</c:v>
                </c:pt>
                <c:pt idx="29">
                  <c:v>466.54230769230765</c:v>
                </c:pt>
                <c:pt idx="30">
                  <c:v>444.36999999999995</c:v>
                </c:pt>
                <c:pt idx="31">
                  <c:v>464.52571428571417</c:v>
                </c:pt>
                <c:pt idx="32">
                  <c:v>610.10692307692307</c:v>
                </c:pt>
                <c:pt idx="33">
                  <c:v>773.85769230769233</c:v>
                </c:pt>
                <c:pt idx="34">
                  <c:v>657.26384615384609</c:v>
                </c:pt>
                <c:pt idx="35">
                  <c:v>569.05071428571432</c:v>
                </c:pt>
                <c:pt idx="36">
                  <c:v>642.50916666666672</c:v>
                </c:pt>
                <c:pt idx="37">
                  <c:v>802.88076923076915</c:v>
                </c:pt>
                <c:pt idx="38">
                  <c:v>862.26857142857148</c:v>
                </c:pt>
                <c:pt idx="39">
                  <c:v>858.16846153846154</c:v>
                </c:pt>
                <c:pt idx="40">
                  <c:v>756.11769230769255</c:v>
                </c:pt>
                <c:pt idx="41">
                  <c:v>518.40384615384608</c:v>
                </c:pt>
                <c:pt idx="42">
                  <c:v>532.34230769230771</c:v>
                </c:pt>
                <c:pt idx="43">
                  <c:v>619.88076923076915</c:v>
                </c:pt>
                <c:pt idx="44">
                  <c:v>656.24416666666673</c:v>
                </c:pt>
                <c:pt idx="45">
                  <c:v>718.4</c:v>
                </c:pt>
                <c:pt idx="46">
                  <c:v>641.57923076923078</c:v>
                </c:pt>
                <c:pt idx="47">
                  <c:v>552.50076923076927</c:v>
                </c:pt>
                <c:pt idx="48">
                  <c:v>528.83615384615382</c:v>
                </c:pt>
                <c:pt idx="49">
                  <c:v>552.3561538461538</c:v>
                </c:pt>
                <c:pt idx="50">
                  <c:v>503.11461538461538</c:v>
                </c:pt>
                <c:pt idx="51">
                  <c:v>532.99076923076927</c:v>
                </c:pt>
                <c:pt idx="52">
                  <c:v>578.37538461538452</c:v>
                </c:pt>
                <c:pt idx="53">
                  <c:v>578.37538461538452</c:v>
                </c:pt>
                <c:pt idx="54">
                  <c:v>578.37538461538452</c:v>
                </c:pt>
                <c:pt idx="55">
                  <c:v>578.37538461538452</c:v>
                </c:pt>
                <c:pt idx="56">
                  <c:v>578.37538461538452</c:v>
                </c:pt>
                <c:pt idx="57">
                  <c:v>578.37538461538452</c:v>
                </c:pt>
                <c:pt idx="58">
                  <c:v>578.37538461538452</c:v>
                </c:pt>
                <c:pt idx="59">
                  <c:v>578.37538461538452</c:v>
                </c:pt>
              </c:numCache>
            </c:numRef>
          </c:val>
          <c:smooth val="0"/>
          <c:extLst>
            <c:ext xmlns:c16="http://schemas.microsoft.com/office/drawing/2014/chart" uri="{C3380CC4-5D6E-409C-BE32-E72D297353CC}">
              <c16:uniqueId val="{00000000-1563-4178-8DD5-19DDCD6E2EDC}"/>
            </c:ext>
          </c:extLst>
        </c:ser>
        <c:dLbls>
          <c:showLegendKey val="0"/>
          <c:showVal val="0"/>
          <c:showCatName val="0"/>
          <c:showSerName val="0"/>
          <c:showPercent val="0"/>
          <c:showBubbleSize val="0"/>
        </c:dLbls>
        <c:marker val="1"/>
        <c:smooth val="0"/>
        <c:axId val="1075965808"/>
        <c:axId val="1075966464"/>
      </c:lineChart>
      <c:lineChart>
        <c:grouping val="standard"/>
        <c:varyColors val="0"/>
        <c:ser>
          <c:idx val="1"/>
          <c:order val="1"/>
          <c:tx>
            <c:v>China SW</c:v>
          </c:tx>
          <c:spPr>
            <a:ln w="28575" cap="rnd">
              <a:solidFill>
                <a:schemeClr val="accent2"/>
              </a:solidFill>
              <a:round/>
            </a:ln>
            <a:effectLst/>
          </c:spPr>
          <c:marker>
            <c:symbol val="none"/>
          </c:marker>
          <c:cat>
            <c:numRef>
              <c:f>'Raw Materials (2)'!$B$69:$B$128</c:f>
              <c:numCache>
                <c:formatCode>[$-409]mmm\-yy;@</c:formatCode>
                <c:ptCount val="60"/>
                <c:pt idx="0">
                  <c:v>41364</c:v>
                </c:pt>
                <c:pt idx="1">
                  <c:v>41455</c:v>
                </c:pt>
                <c:pt idx="2">
                  <c:v>41547</c:v>
                </c:pt>
                <c:pt idx="3">
                  <c:v>41639</c:v>
                </c:pt>
                <c:pt idx="4">
                  <c:v>41729</c:v>
                </c:pt>
                <c:pt idx="5">
                  <c:v>41820</c:v>
                </c:pt>
                <c:pt idx="6">
                  <c:v>41912</c:v>
                </c:pt>
                <c:pt idx="7">
                  <c:v>42004</c:v>
                </c:pt>
                <c:pt idx="8">
                  <c:v>42094</c:v>
                </c:pt>
                <c:pt idx="9">
                  <c:v>42185</c:v>
                </c:pt>
                <c:pt idx="10">
                  <c:v>42277</c:v>
                </c:pt>
                <c:pt idx="11">
                  <c:v>42369</c:v>
                </c:pt>
                <c:pt idx="12">
                  <c:v>42460</c:v>
                </c:pt>
                <c:pt idx="13">
                  <c:v>42551</c:v>
                </c:pt>
                <c:pt idx="14">
                  <c:v>42643</c:v>
                </c:pt>
                <c:pt idx="15">
                  <c:v>42735</c:v>
                </c:pt>
                <c:pt idx="16">
                  <c:v>42825</c:v>
                </c:pt>
                <c:pt idx="17">
                  <c:v>42916</c:v>
                </c:pt>
                <c:pt idx="18">
                  <c:v>43008</c:v>
                </c:pt>
                <c:pt idx="19">
                  <c:v>43100</c:v>
                </c:pt>
                <c:pt idx="20">
                  <c:v>43190</c:v>
                </c:pt>
                <c:pt idx="21">
                  <c:v>43281</c:v>
                </c:pt>
                <c:pt idx="22">
                  <c:v>43373</c:v>
                </c:pt>
                <c:pt idx="23">
                  <c:v>43465</c:v>
                </c:pt>
                <c:pt idx="24">
                  <c:v>43555</c:v>
                </c:pt>
                <c:pt idx="25">
                  <c:v>43646</c:v>
                </c:pt>
                <c:pt idx="26">
                  <c:v>43738</c:v>
                </c:pt>
                <c:pt idx="27">
                  <c:v>43830</c:v>
                </c:pt>
                <c:pt idx="28">
                  <c:v>43921</c:v>
                </c:pt>
                <c:pt idx="29">
                  <c:v>44012</c:v>
                </c:pt>
                <c:pt idx="30">
                  <c:v>44104</c:v>
                </c:pt>
                <c:pt idx="31">
                  <c:v>44196</c:v>
                </c:pt>
                <c:pt idx="32">
                  <c:v>44286</c:v>
                </c:pt>
                <c:pt idx="33">
                  <c:v>44377</c:v>
                </c:pt>
                <c:pt idx="34">
                  <c:v>44469</c:v>
                </c:pt>
                <c:pt idx="35">
                  <c:v>44561</c:v>
                </c:pt>
                <c:pt idx="36">
                  <c:v>44651</c:v>
                </c:pt>
                <c:pt idx="37">
                  <c:v>44742</c:v>
                </c:pt>
                <c:pt idx="38">
                  <c:v>44834</c:v>
                </c:pt>
                <c:pt idx="39">
                  <c:v>44925</c:v>
                </c:pt>
                <c:pt idx="40">
                  <c:v>45016</c:v>
                </c:pt>
                <c:pt idx="41">
                  <c:v>45107</c:v>
                </c:pt>
                <c:pt idx="42">
                  <c:v>45199</c:v>
                </c:pt>
                <c:pt idx="43">
                  <c:v>45291</c:v>
                </c:pt>
                <c:pt idx="44">
                  <c:v>45382</c:v>
                </c:pt>
                <c:pt idx="45">
                  <c:v>45473</c:v>
                </c:pt>
                <c:pt idx="46">
                  <c:v>45565</c:v>
                </c:pt>
                <c:pt idx="47">
                  <c:v>45657</c:v>
                </c:pt>
                <c:pt idx="48">
                  <c:v>45747</c:v>
                </c:pt>
                <c:pt idx="49">
                  <c:v>45838</c:v>
                </c:pt>
                <c:pt idx="50">
                  <c:v>45930</c:v>
                </c:pt>
                <c:pt idx="51">
                  <c:v>46022</c:v>
                </c:pt>
                <c:pt idx="52">
                  <c:v>46112</c:v>
                </c:pt>
                <c:pt idx="53">
                  <c:v>46203</c:v>
                </c:pt>
                <c:pt idx="54">
                  <c:v>46295</c:v>
                </c:pt>
                <c:pt idx="55">
                  <c:v>46387</c:v>
                </c:pt>
                <c:pt idx="56">
                  <c:v>46477</c:v>
                </c:pt>
                <c:pt idx="57">
                  <c:v>46568</c:v>
                </c:pt>
                <c:pt idx="58">
                  <c:v>46660</c:v>
                </c:pt>
                <c:pt idx="59">
                  <c:v>46752</c:v>
                </c:pt>
              </c:numCache>
            </c:numRef>
          </c:cat>
          <c:val>
            <c:numRef>
              <c:f>'Raw Materials (2)'!$D$69:$D$128</c:f>
              <c:numCache>
                <c:formatCode>0.00</c:formatCode>
                <c:ptCount val="60"/>
                <c:pt idx="0">
                  <c:v>665.94416666666666</c:v>
                </c:pt>
                <c:pt idx="1">
                  <c:v>694.12888888888892</c:v>
                </c:pt>
                <c:pt idx="2">
                  <c:v>681.51384615384609</c:v>
                </c:pt>
                <c:pt idx="3">
                  <c:v>723.02692307692314</c:v>
                </c:pt>
                <c:pt idx="4">
                  <c:v>750.4908333333334</c:v>
                </c:pt>
                <c:pt idx="5">
                  <c:v>736.45583333333332</c:v>
                </c:pt>
                <c:pt idx="6">
                  <c:v>724.1049999999999</c:v>
                </c:pt>
                <c:pt idx="7">
                  <c:v>719.22769230769222</c:v>
                </c:pt>
                <c:pt idx="8">
                  <c:v>682.24615384615379</c:v>
                </c:pt>
                <c:pt idx="9">
                  <c:v>665.66</c:v>
                </c:pt>
                <c:pt idx="10">
                  <c:v>649.11357142857139</c:v>
                </c:pt>
                <c:pt idx="11">
                  <c:v>614.34499999999991</c:v>
                </c:pt>
                <c:pt idx="12">
                  <c:v>593.69692307692299</c:v>
                </c:pt>
                <c:pt idx="13">
                  <c:v>608.20307692307699</c:v>
                </c:pt>
                <c:pt idx="14">
                  <c:v>600.38615384615389</c:v>
                </c:pt>
                <c:pt idx="15">
                  <c:v>592.89538461538461</c:v>
                </c:pt>
                <c:pt idx="16">
                  <c:v>633.3738461538461</c:v>
                </c:pt>
                <c:pt idx="17">
                  <c:v>644.88923076923072</c:v>
                </c:pt>
                <c:pt idx="18">
                  <c:v>659.68461538461531</c:v>
                </c:pt>
                <c:pt idx="19">
                  <c:v>831.18461538461531</c:v>
                </c:pt>
                <c:pt idx="20">
                  <c:v>892.46538461538466</c:v>
                </c:pt>
                <c:pt idx="21">
                  <c:v>892.57923076923066</c:v>
                </c:pt>
                <c:pt idx="22">
                  <c:v>867.47692307692296</c:v>
                </c:pt>
                <c:pt idx="23">
                  <c:v>826.70384615384603</c:v>
                </c:pt>
                <c:pt idx="24">
                  <c:v>702.39153846153829</c:v>
                </c:pt>
                <c:pt idx="25">
                  <c:v>672.36769230769232</c:v>
                </c:pt>
                <c:pt idx="26">
                  <c:v>570.28461538461534</c:v>
                </c:pt>
                <c:pt idx="27">
                  <c:v>565.9186666666667</c:v>
                </c:pt>
                <c:pt idx="28">
                  <c:v>570.62076923076938</c:v>
                </c:pt>
                <c:pt idx="29">
                  <c:v>576.23</c:v>
                </c:pt>
                <c:pt idx="30">
                  <c:v>570.14615384615388</c:v>
                </c:pt>
                <c:pt idx="31">
                  <c:v>621.87714285714276</c:v>
                </c:pt>
                <c:pt idx="32">
                  <c:v>826.7461538461539</c:v>
                </c:pt>
                <c:pt idx="33">
                  <c:v>974.67153846153838</c:v>
                </c:pt>
                <c:pt idx="34">
                  <c:v>855.35615384615392</c:v>
                </c:pt>
                <c:pt idx="35">
                  <c:v>749.7414285714284</c:v>
                </c:pt>
                <c:pt idx="36">
                  <c:v>855.76583333333326</c:v>
                </c:pt>
                <c:pt idx="37">
                  <c:v>984.37153846153842</c:v>
                </c:pt>
                <c:pt idx="38">
                  <c:v>974.11857142857139</c:v>
                </c:pt>
                <c:pt idx="39">
                  <c:v>918.53461538461545</c:v>
                </c:pt>
                <c:pt idx="40">
                  <c:v>898.82692307692309</c:v>
                </c:pt>
                <c:pt idx="41">
                  <c:v>706.83461538461529</c:v>
                </c:pt>
                <c:pt idx="42">
                  <c:v>664.98153846153843</c:v>
                </c:pt>
                <c:pt idx="43">
                  <c:v>638.68153846153848</c:v>
                </c:pt>
                <c:pt idx="44">
                  <c:v>738.02333333333343</c:v>
                </c:pt>
                <c:pt idx="45">
                  <c:v>687.32642857142855</c:v>
                </c:pt>
                <c:pt idx="46">
                  <c:v>773.17384615384617</c:v>
                </c:pt>
                <c:pt idx="47">
                  <c:v>768.45846153846151</c:v>
                </c:pt>
                <c:pt idx="48">
                  <c:v>791.52230769230778</c:v>
                </c:pt>
                <c:pt idx="49">
                  <c:v>582.24076923076927</c:v>
                </c:pt>
                <c:pt idx="50">
                  <c:v>0</c:v>
                </c:pt>
                <c:pt idx="51">
                  <c:v>0</c:v>
                </c:pt>
                <c:pt idx="52">
                  <c:v>0</c:v>
                </c:pt>
                <c:pt idx="53">
                  <c:v>696.77381635672009</c:v>
                </c:pt>
                <c:pt idx="54">
                  <c:v>696.77381635672009</c:v>
                </c:pt>
                <c:pt idx="55">
                  <c:v>696.77381635672009</c:v>
                </c:pt>
                <c:pt idx="56">
                  <c:v>696.77381635672009</c:v>
                </c:pt>
                <c:pt idx="57">
                  <c:v>696.77381635672009</c:v>
                </c:pt>
                <c:pt idx="58">
                  <c:v>696.77381635672009</c:v>
                </c:pt>
                <c:pt idx="59">
                  <c:v>696.77381635672009</c:v>
                </c:pt>
              </c:numCache>
            </c:numRef>
          </c:val>
          <c:smooth val="0"/>
          <c:extLst>
            <c:ext xmlns:c16="http://schemas.microsoft.com/office/drawing/2014/chart" uri="{C3380CC4-5D6E-409C-BE32-E72D297353CC}">
              <c16:uniqueId val="{00000001-1563-4178-8DD5-19DDCD6E2EDC}"/>
            </c:ext>
          </c:extLst>
        </c:ser>
        <c:dLbls>
          <c:showLegendKey val="0"/>
          <c:showVal val="0"/>
          <c:showCatName val="0"/>
          <c:showSerName val="0"/>
          <c:showPercent val="0"/>
          <c:showBubbleSize val="0"/>
        </c:dLbls>
        <c:marker val="1"/>
        <c:smooth val="0"/>
        <c:axId val="1042319983"/>
        <c:axId val="1042313743"/>
      </c:lineChart>
      <c:dateAx>
        <c:axId val="1075965808"/>
        <c:scaling>
          <c:orientation val="minMax"/>
          <c:max val="46022"/>
          <c:min val="44621"/>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966464"/>
        <c:crosses val="autoZero"/>
        <c:auto val="1"/>
        <c:lblOffset val="100"/>
        <c:baseTimeUnit val="months"/>
        <c:majorUnit val="6"/>
        <c:majorTimeUnit val="months"/>
      </c:dateAx>
      <c:valAx>
        <c:axId val="1075966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965808"/>
        <c:crosses val="autoZero"/>
        <c:crossBetween val="between"/>
      </c:valAx>
      <c:valAx>
        <c:axId val="10423137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19983"/>
        <c:crosses val="max"/>
        <c:crossBetween val="between"/>
      </c:valAx>
      <c:dateAx>
        <c:axId val="1042319983"/>
        <c:scaling>
          <c:orientation val="minMax"/>
        </c:scaling>
        <c:delete val="1"/>
        <c:axPos val="b"/>
        <c:numFmt formatCode="[$-409]mmm\-yy;@" sourceLinked="1"/>
        <c:majorTickMark val="out"/>
        <c:minorTickMark val="none"/>
        <c:tickLblPos val="nextTo"/>
        <c:crossAx val="1042313743"/>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 - EU HW Spread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CH - EU</c:v>
          </c:tx>
          <c:spPr>
            <a:ln w="28575" cap="rnd">
              <a:solidFill>
                <a:schemeClr val="accent1"/>
              </a:solidFill>
              <a:round/>
            </a:ln>
            <a:effectLst/>
          </c:spPr>
          <c:marker>
            <c:symbol val="none"/>
          </c:marker>
          <c:cat>
            <c:numRef>
              <c:f>'Raw Materials (2)'!$B$69:$B$114</c:f>
              <c:numCache>
                <c:formatCode>[$-409]mmm\-yy;@</c:formatCode>
                <c:ptCount val="46"/>
                <c:pt idx="0">
                  <c:v>41364</c:v>
                </c:pt>
                <c:pt idx="1">
                  <c:v>41455</c:v>
                </c:pt>
                <c:pt idx="2">
                  <c:v>41547</c:v>
                </c:pt>
                <c:pt idx="3">
                  <c:v>41639</c:v>
                </c:pt>
                <c:pt idx="4">
                  <c:v>41729</c:v>
                </c:pt>
                <c:pt idx="5">
                  <c:v>41820</c:v>
                </c:pt>
                <c:pt idx="6">
                  <c:v>41912</c:v>
                </c:pt>
                <c:pt idx="7">
                  <c:v>42004</c:v>
                </c:pt>
                <c:pt idx="8">
                  <c:v>42094</c:v>
                </c:pt>
                <c:pt idx="9">
                  <c:v>42185</c:v>
                </c:pt>
                <c:pt idx="10">
                  <c:v>42277</c:v>
                </c:pt>
                <c:pt idx="11">
                  <c:v>42369</c:v>
                </c:pt>
                <c:pt idx="12">
                  <c:v>42460</c:v>
                </c:pt>
                <c:pt idx="13">
                  <c:v>42551</c:v>
                </c:pt>
                <c:pt idx="14">
                  <c:v>42643</c:v>
                </c:pt>
                <c:pt idx="15">
                  <c:v>42735</c:v>
                </c:pt>
                <c:pt idx="16">
                  <c:v>42825</c:v>
                </c:pt>
                <c:pt idx="17">
                  <c:v>42916</c:v>
                </c:pt>
                <c:pt idx="18">
                  <c:v>43008</c:v>
                </c:pt>
                <c:pt idx="19">
                  <c:v>43100</c:v>
                </c:pt>
                <c:pt idx="20">
                  <c:v>43190</c:v>
                </c:pt>
                <c:pt idx="21">
                  <c:v>43281</c:v>
                </c:pt>
                <c:pt idx="22">
                  <c:v>43373</c:v>
                </c:pt>
                <c:pt idx="23">
                  <c:v>43465</c:v>
                </c:pt>
                <c:pt idx="24">
                  <c:v>43555</c:v>
                </c:pt>
                <c:pt idx="25">
                  <c:v>43646</c:v>
                </c:pt>
                <c:pt idx="26">
                  <c:v>43738</c:v>
                </c:pt>
                <c:pt idx="27">
                  <c:v>43830</c:v>
                </c:pt>
                <c:pt idx="28">
                  <c:v>43921</c:v>
                </c:pt>
                <c:pt idx="29">
                  <c:v>44012</c:v>
                </c:pt>
                <c:pt idx="30">
                  <c:v>44104</c:v>
                </c:pt>
                <c:pt idx="31">
                  <c:v>44196</c:v>
                </c:pt>
                <c:pt idx="32">
                  <c:v>44286</c:v>
                </c:pt>
                <c:pt idx="33">
                  <c:v>44377</c:v>
                </c:pt>
                <c:pt idx="34">
                  <c:v>44469</c:v>
                </c:pt>
                <c:pt idx="35">
                  <c:v>44561</c:v>
                </c:pt>
                <c:pt idx="36">
                  <c:v>44651</c:v>
                </c:pt>
                <c:pt idx="37">
                  <c:v>44742</c:v>
                </c:pt>
                <c:pt idx="38">
                  <c:v>44834</c:v>
                </c:pt>
                <c:pt idx="39">
                  <c:v>44925</c:v>
                </c:pt>
                <c:pt idx="40">
                  <c:v>45016</c:v>
                </c:pt>
                <c:pt idx="41">
                  <c:v>45107</c:v>
                </c:pt>
                <c:pt idx="42">
                  <c:v>45199</c:v>
                </c:pt>
                <c:pt idx="43">
                  <c:v>45291</c:v>
                </c:pt>
                <c:pt idx="44">
                  <c:v>45382</c:v>
                </c:pt>
                <c:pt idx="45">
                  <c:v>45473</c:v>
                </c:pt>
              </c:numCache>
            </c:numRef>
          </c:cat>
          <c:val>
            <c:numRef>
              <c:f>'Raw Materials (2)'!$G$69:$G$114</c:f>
              <c:numCache>
                <c:formatCode>#,##0</c:formatCode>
                <c:ptCount val="46"/>
                <c:pt idx="0">
                  <c:v>-126.34416666666675</c:v>
                </c:pt>
                <c:pt idx="1">
                  <c:v>-115.40555555555557</c:v>
                </c:pt>
                <c:pt idx="2">
                  <c:v>-120.37538461538452</c:v>
                </c:pt>
                <c:pt idx="3">
                  <c:v>-111.79615384615386</c:v>
                </c:pt>
                <c:pt idx="4">
                  <c:v>-116.39166666666677</c:v>
                </c:pt>
                <c:pt idx="5">
                  <c:v>-147.78916666666669</c:v>
                </c:pt>
                <c:pt idx="6">
                  <c:v>-143.28357142857169</c:v>
                </c:pt>
                <c:pt idx="7">
                  <c:v>-136.41923076923081</c:v>
                </c:pt>
                <c:pt idx="8">
                  <c:v>-127.43538461538469</c:v>
                </c:pt>
                <c:pt idx="9">
                  <c:v>-127.90692307692302</c:v>
                </c:pt>
                <c:pt idx="10">
                  <c:v>-142.50857142857137</c:v>
                </c:pt>
                <c:pt idx="11">
                  <c:v>-179.91750000000002</c:v>
                </c:pt>
                <c:pt idx="12">
                  <c:v>-208.73692307692295</c:v>
                </c:pt>
                <c:pt idx="13">
                  <c:v>-193.053846153846</c:v>
                </c:pt>
                <c:pt idx="14">
                  <c:v>-184.82923076923055</c:v>
                </c:pt>
                <c:pt idx="15">
                  <c:v>-160.41846153846166</c:v>
                </c:pt>
                <c:pt idx="16">
                  <c:v>-120.55384615384617</c:v>
                </c:pt>
                <c:pt idx="17">
                  <c:v>-164.62230769230757</c:v>
                </c:pt>
                <c:pt idx="18">
                  <c:v>-229.58076923076931</c:v>
                </c:pt>
                <c:pt idx="19">
                  <c:v>-216.95384615384626</c:v>
                </c:pt>
                <c:pt idx="20">
                  <c:v>-249.22692307692307</c:v>
                </c:pt>
                <c:pt idx="21">
                  <c:v>-275.33923076923065</c:v>
                </c:pt>
                <c:pt idx="22">
                  <c:v>-280.19923076923078</c:v>
                </c:pt>
                <c:pt idx="23">
                  <c:v>-304.11769230769232</c:v>
                </c:pt>
                <c:pt idx="24">
                  <c:v>-326.51692307692326</c:v>
                </c:pt>
                <c:pt idx="25">
                  <c:v>-290.28846153846155</c:v>
                </c:pt>
                <c:pt idx="26">
                  <c:v>-320.69538461538463</c:v>
                </c:pt>
                <c:pt idx="27">
                  <c:v>-234.95266666666663</c:v>
                </c:pt>
                <c:pt idx="28">
                  <c:v>-218.57153846153852</c:v>
                </c:pt>
                <c:pt idx="29">
                  <c:v>-213.79153846153849</c:v>
                </c:pt>
                <c:pt idx="30">
                  <c:v>-235.63000000000005</c:v>
                </c:pt>
                <c:pt idx="31">
                  <c:v>-215.47428571428583</c:v>
                </c:pt>
                <c:pt idx="32">
                  <c:v>-142.84692307692308</c:v>
                </c:pt>
                <c:pt idx="33">
                  <c:v>-217.59076923076907</c:v>
                </c:pt>
                <c:pt idx="34">
                  <c:v>-477.57692307692309</c:v>
                </c:pt>
                <c:pt idx="35">
                  <c:v>-570.94928571428568</c:v>
                </c:pt>
                <c:pt idx="36">
                  <c:v>-506.71833333333348</c:v>
                </c:pt>
                <c:pt idx="37">
                  <c:v>-432.40384615384619</c:v>
                </c:pt>
                <c:pt idx="38">
                  <c:v>-501.77285714285722</c:v>
                </c:pt>
                <c:pt idx="39">
                  <c:v>-521.8207692307692</c:v>
                </c:pt>
                <c:pt idx="40">
                  <c:v>-581.17923076923057</c:v>
                </c:pt>
                <c:pt idx="41">
                  <c:v>-578.20615384615405</c:v>
                </c:pt>
                <c:pt idx="42">
                  <c:v>-302.59769230769223</c:v>
                </c:pt>
                <c:pt idx="43">
                  <c:v>-288.23384615384623</c:v>
                </c:pt>
                <c:pt idx="44">
                  <c:v>-455.51166666666666</c:v>
                </c:pt>
                <c:pt idx="45">
                  <c:v>-626.03928571428548</c:v>
                </c:pt>
              </c:numCache>
            </c:numRef>
          </c:val>
          <c:smooth val="0"/>
          <c:extLst>
            <c:ext xmlns:c16="http://schemas.microsoft.com/office/drawing/2014/chart" uri="{C3380CC4-5D6E-409C-BE32-E72D297353CC}">
              <c16:uniqueId val="{00000000-8B38-40D7-8400-B386F54C7DA6}"/>
            </c:ext>
          </c:extLst>
        </c:ser>
        <c:dLbls>
          <c:showLegendKey val="0"/>
          <c:showVal val="0"/>
          <c:showCatName val="0"/>
          <c:showSerName val="0"/>
          <c:showPercent val="0"/>
          <c:showBubbleSize val="0"/>
        </c:dLbls>
        <c:smooth val="0"/>
        <c:axId val="880036032"/>
        <c:axId val="880039992"/>
      </c:lineChart>
      <c:dateAx>
        <c:axId val="880036032"/>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39992"/>
        <c:crosses val="autoZero"/>
        <c:auto val="1"/>
        <c:lblOffset val="100"/>
        <c:baseTimeUnit val="months"/>
      </c:dateAx>
      <c:valAx>
        <c:axId val="880039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HW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'Raw Materials (2)'!$C$7</c:f>
              <c:strCache>
                <c:ptCount val="1"/>
                <c:pt idx="0">
                  <c:v>CHINA</c:v>
                </c:pt>
              </c:strCache>
            </c:strRef>
          </c:tx>
          <c:spPr>
            <a:ln w="28575" cap="rnd">
              <a:solidFill>
                <a:schemeClr val="accent1"/>
              </a:solidFill>
              <a:round/>
            </a:ln>
            <a:effectLst/>
          </c:spPr>
          <c:marker>
            <c:symbol val="none"/>
          </c:marker>
          <c:cat>
            <c:numRef>
              <c:f>'Raw Materials (2)'!$B$111:$B$118</c:f>
              <c:numCache>
                <c:formatCode>[$-409]mmm\-yy;@</c:formatCode>
                <c:ptCount val="8"/>
                <c:pt idx="0">
                  <c:v>45199</c:v>
                </c:pt>
                <c:pt idx="1">
                  <c:v>45291</c:v>
                </c:pt>
                <c:pt idx="2">
                  <c:v>45382</c:v>
                </c:pt>
                <c:pt idx="3">
                  <c:v>45473</c:v>
                </c:pt>
                <c:pt idx="4">
                  <c:v>45565</c:v>
                </c:pt>
                <c:pt idx="5">
                  <c:v>45657</c:v>
                </c:pt>
                <c:pt idx="6">
                  <c:v>45747</c:v>
                </c:pt>
                <c:pt idx="7">
                  <c:v>45838</c:v>
                </c:pt>
              </c:numCache>
            </c:numRef>
          </c:cat>
          <c:val>
            <c:numRef>
              <c:f>'Raw Materials (2)'!$C$111:$C$118</c:f>
              <c:numCache>
                <c:formatCode>0.00</c:formatCode>
                <c:ptCount val="8"/>
                <c:pt idx="0">
                  <c:v>532.34230769230771</c:v>
                </c:pt>
                <c:pt idx="1">
                  <c:v>619.88076923076915</c:v>
                </c:pt>
                <c:pt idx="2">
                  <c:v>656.24416666666673</c:v>
                </c:pt>
                <c:pt idx="3">
                  <c:v>718.4</c:v>
                </c:pt>
                <c:pt idx="4">
                  <c:v>641.57923076923078</c:v>
                </c:pt>
                <c:pt idx="5">
                  <c:v>552.50076923076927</c:v>
                </c:pt>
                <c:pt idx="6">
                  <c:v>528.83615384615382</c:v>
                </c:pt>
                <c:pt idx="7">
                  <c:v>552.3561538461538</c:v>
                </c:pt>
              </c:numCache>
            </c:numRef>
          </c:val>
          <c:smooth val="0"/>
          <c:extLst>
            <c:ext xmlns:c16="http://schemas.microsoft.com/office/drawing/2014/chart" uri="{C3380CC4-5D6E-409C-BE32-E72D297353CC}">
              <c16:uniqueId val="{00000000-4E59-4900-B1CF-A1DDC9E23336}"/>
            </c:ext>
          </c:extLst>
        </c:ser>
        <c:ser>
          <c:idx val="1"/>
          <c:order val="1"/>
          <c:tx>
            <c:strRef>
              <c:f>'Raw Materials (2)'!$E$7</c:f>
              <c:strCache>
                <c:ptCount val="1"/>
                <c:pt idx="0">
                  <c:v>EUROPA</c:v>
                </c:pt>
              </c:strCache>
            </c:strRef>
          </c:tx>
          <c:spPr>
            <a:ln w="28575" cap="rnd">
              <a:solidFill>
                <a:schemeClr val="accent2"/>
              </a:solidFill>
              <a:round/>
            </a:ln>
            <a:effectLst/>
          </c:spPr>
          <c:marker>
            <c:symbol val="none"/>
          </c:marker>
          <c:cat>
            <c:numRef>
              <c:f>'Raw Materials (2)'!$B$111:$B$118</c:f>
              <c:numCache>
                <c:formatCode>[$-409]mmm\-yy;@</c:formatCode>
                <c:ptCount val="8"/>
                <c:pt idx="0">
                  <c:v>45199</c:v>
                </c:pt>
                <c:pt idx="1">
                  <c:v>45291</c:v>
                </c:pt>
                <c:pt idx="2">
                  <c:v>45382</c:v>
                </c:pt>
                <c:pt idx="3">
                  <c:v>45473</c:v>
                </c:pt>
                <c:pt idx="4">
                  <c:v>45565</c:v>
                </c:pt>
                <c:pt idx="5">
                  <c:v>45657</c:v>
                </c:pt>
                <c:pt idx="6">
                  <c:v>45747</c:v>
                </c:pt>
                <c:pt idx="7">
                  <c:v>45838</c:v>
                </c:pt>
              </c:numCache>
            </c:numRef>
          </c:cat>
          <c:val>
            <c:numRef>
              <c:f>'Raw Materials (2)'!$E$111:$E$118</c:f>
              <c:numCache>
                <c:formatCode>0.00</c:formatCode>
                <c:ptCount val="8"/>
                <c:pt idx="0">
                  <c:v>834.93999999999994</c:v>
                </c:pt>
                <c:pt idx="1">
                  <c:v>908.11461538461538</c:v>
                </c:pt>
                <c:pt idx="2">
                  <c:v>1111.7558333333334</c:v>
                </c:pt>
                <c:pt idx="3">
                  <c:v>1344.4392857142855</c:v>
                </c:pt>
                <c:pt idx="4">
                  <c:v>1375.0138461538461</c:v>
                </c:pt>
                <c:pt idx="5">
                  <c:v>1106.1423076923077</c:v>
                </c:pt>
                <c:pt idx="6">
                  <c:v>1064.2823076923075</c:v>
                </c:pt>
                <c:pt idx="7">
                  <c:v>1175.4976923076922</c:v>
                </c:pt>
              </c:numCache>
            </c:numRef>
          </c:val>
          <c:smooth val="0"/>
          <c:extLst>
            <c:ext xmlns:c16="http://schemas.microsoft.com/office/drawing/2014/chart" uri="{C3380CC4-5D6E-409C-BE32-E72D297353CC}">
              <c16:uniqueId val="{00000001-4E59-4900-B1CF-A1DDC9E23336}"/>
            </c:ext>
          </c:extLst>
        </c:ser>
        <c:dLbls>
          <c:showLegendKey val="0"/>
          <c:showVal val="0"/>
          <c:showCatName val="0"/>
          <c:showSerName val="0"/>
          <c:showPercent val="0"/>
          <c:showBubbleSize val="0"/>
        </c:dLbls>
        <c:smooth val="0"/>
        <c:axId val="1095844671"/>
        <c:axId val="1095846111"/>
      </c:lineChart>
      <c:dateAx>
        <c:axId val="1095844671"/>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95846111"/>
        <c:crosses val="autoZero"/>
        <c:auto val="1"/>
        <c:lblOffset val="100"/>
        <c:baseTimeUnit val="months"/>
      </c:dateAx>
      <c:valAx>
        <c:axId val="1095846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95844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'Raw Materials (2)'!$D$7</c:f>
              <c:strCache>
                <c:ptCount val="1"/>
                <c:pt idx="0">
                  <c:v>CHINA</c:v>
                </c:pt>
              </c:strCache>
            </c:strRef>
          </c:tx>
          <c:spPr>
            <a:ln w="28575" cap="rnd">
              <a:solidFill>
                <a:schemeClr val="accent1"/>
              </a:solidFill>
              <a:round/>
            </a:ln>
            <a:effectLst/>
          </c:spPr>
          <c:marker>
            <c:symbol val="none"/>
          </c:marker>
          <c:cat>
            <c:numRef>
              <c:f>'Raw Materials (2)'!$B$111:$B$118</c:f>
              <c:numCache>
                <c:formatCode>[$-409]mmm\-yy;@</c:formatCode>
                <c:ptCount val="8"/>
                <c:pt idx="0">
                  <c:v>45199</c:v>
                </c:pt>
                <c:pt idx="1">
                  <c:v>45291</c:v>
                </c:pt>
                <c:pt idx="2">
                  <c:v>45382</c:v>
                </c:pt>
                <c:pt idx="3">
                  <c:v>45473</c:v>
                </c:pt>
                <c:pt idx="4">
                  <c:v>45565</c:v>
                </c:pt>
                <c:pt idx="5">
                  <c:v>45657</c:v>
                </c:pt>
                <c:pt idx="6">
                  <c:v>45747</c:v>
                </c:pt>
                <c:pt idx="7">
                  <c:v>45838</c:v>
                </c:pt>
              </c:numCache>
            </c:numRef>
          </c:cat>
          <c:val>
            <c:numRef>
              <c:f>'Raw Materials (2)'!$D$111:$D$118</c:f>
              <c:numCache>
                <c:formatCode>0.00</c:formatCode>
                <c:ptCount val="8"/>
                <c:pt idx="0">
                  <c:v>664.98153846153843</c:v>
                </c:pt>
                <c:pt idx="1">
                  <c:v>638.68153846153848</c:v>
                </c:pt>
                <c:pt idx="2">
                  <c:v>738.02333333333343</c:v>
                </c:pt>
                <c:pt idx="3">
                  <c:v>687.32642857142855</c:v>
                </c:pt>
                <c:pt idx="4">
                  <c:v>773.17384615384617</c:v>
                </c:pt>
                <c:pt idx="5">
                  <c:v>768.45846153846151</c:v>
                </c:pt>
                <c:pt idx="6">
                  <c:v>791.52230769230778</c:v>
                </c:pt>
                <c:pt idx="7">
                  <c:v>582.24076923076927</c:v>
                </c:pt>
              </c:numCache>
            </c:numRef>
          </c:val>
          <c:smooth val="0"/>
          <c:extLst>
            <c:ext xmlns:c16="http://schemas.microsoft.com/office/drawing/2014/chart" uri="{C3380CC4-5D6E-409C-BE32-E72D297353CC}">
              <c16:uniqueId val="{00000000-F0BF-448E-AFDE-C53E5063CBBB}"/>
            </c:ext>
          </c:extLst>
        </c:ser>
        <c:ser>
          <c:idx val="1"/>
          <c:order val="1"/>
          <c:tx>
            <c:strRef>
              <c:f>'Raw Materials (2)'!$F$7</c:f>
              <c:strCache>
                <c:ptCount val="1"/>
                <c:pt idx="0">
                  <c:v>EUROPA</c:v>
                </c:pt>
              </c:strCache>
            </c:strRef>
          </c:tx>
          <c:spPr>
            <a:ln w="28575" cap="rnd">
              <a:solidFill>
                <a:schemeClr val="accent2"/>
              </a:solidFill>
              <a:round/>
            </a:ln>
            <a:effectLst/>
          </c:spPr>
          <c:marker>
            <c:symbol val="none"/>
          </c:marker>
          <c:cat>
            <c:numRef>
              <c:f>'Raw Materials (2)'!$B$111:$B$118</c:f>
              <c:numCache>
                <c:formatCode>[$-409]mmm\-yy;@</c:formatCode>
                <c:ptCount val="8"/>
                <c:pt idx="0">
                  <c:v>45199</c:v>
                </c:pt>
                <c:pt idx="1">
                  <c:v>45291</c:v>
                </c:pt>
                <c:pt idx="2">
                  <c:v>45382</c:v>
                </c:pt>
                <c:pt idx="3">
                  <c:v>45473</c:v>
                </c:pt>
                <c:pt idx="4">
                  <c:v>45565</c:v>
                </c:pt>
                <c:pt idx="5">
                  <c:v>45657</c:v>
                </c:pt>
                <c:pt idx="6">
                  <c:v>45747</c:v>
                </c:pt>
                <c:pt idx="7">
                  <c:v>45838</c:v>
                </c:pt>
              </c:numCache>
            </c:numRef>
          </c:cat>
          <c:val>
            <c:numRef>
              <c:f>'Raw Materials (2)'!$F$111:$F$118</c:f>
              <c:numCache>
                <c:formatCode>0.00</c:formatCode>
                <c:ptCount val="8"/>
                <c:pt idx="0">
                  <c:v>1175.0146153846156</c:v>
                </c:pt>
                <c:pt idx="1">
                  <c:v>1191.4276923076923</c:v>
                </c:pt>
                <c:pt idx="2">
                  <c:v>1322.041666666667</c:v>
                </c:pt>
                <c:pt idx="3">
                  <c:v>1497.2428571428572</c:v>
                </c:pt>
                <c:pt idx="4">
                  <c:v>1605.4046153846155</c:v>
                </c:pt>
                <c:pt idx="5">
                  <c:v>1523.1123076923077</c:v>
                </c:pt>
                <c:pt idx="6">
                  <c:v>1500.5407692307695</c:v>
                </c:pt>
                <c:pt idx="7">
                  <c:v>1217.5630769230772</c:v>
                </c:pt>
              </c:numCache>
            </c:numRef>
          </c:val>
          <c:smooth val="0"/>
          <c:extLst>
            <c:ext xmlns:c16="http://schemas.microsoft.com/office/drawing/2014/chart" uri="{C3380CC4-5D6E-409C-BE32-E72D297353CC}">
              <c16:uniqueId val="{00000001-F0BF-448E-AFDE-C53E5063CBBB}"/>
            </c:ext>
          </c:extLst>
        </c:ser>
        <c:dLbls>
          <c:showLegendKey val="0"/>
          <c:showVal val="0"/>
          <c:showCatName val="0"/>
          <c:showSerName val="0"/>
          <c:showPercent val="0"/>
          <c:showBubbleSize val="0"/>
        </c:dLbls>
        <c:smooth val="0"/>
        <c:axId val="1176808575"/>
        <c:axId val="1176809535"/>
      </c:lineChart>
      <c:dateAx>
        <c:axId val="1176808575"/>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76809535"/>
        <c:crosses val="autoZero"/>
        <c:auto val="1"/>
        <c:lblOffset val="100"/>
        <c:baseTimeUnit val="months"/>
      </c:dateAx>
      <c:valAx>
        <c:axId val="1176809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7680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IPC</c:v>
          </c:tx>
          <c:spPr>
            <a:ln w="28575" cap="rnd">
              <a:solidFill>
                <a:schemeClr val="accent1"/>
              </a:solidFill>
              <a:round/>
            </a:ln>
            <a:effectLst/>
          </c:spPr>
          <c:marker>
            <c:symbol val="none"/>
          </c:marker>
          <c:cat>
            <c:numRef>
              <c:f>FAT!$F$8:$AH$8</c:f>
              <c:numCache>
                <c:formatCode>mmm\-yy</c:formatCode>
                <c:ptCount val="29"/>
                <c:pt idx="0">
                  <c:v>42825</c:v>
                </c:pt>
                <c:pt idx="1">
                  <c:v>42916</c:v>
                </c:pt>
                <c:pt idx="2">
                  <c:v>43008</c:v>
                </c:pt>
                <c:pt idx="3">
                  <c:v>43100</c:v>
                </c:pt>
                <c:pt idx="4">
                  <c:v>43190</c:v>
                </c:pt>
                <c:pt idx="5">
                  <c:v>43281</c:v>
                </c:pt>
                <c:pt idx="6">
                  <c:v>43373</c:v>
                </c:pt>
                <c:pt idx="7">
                  <c:v>43465</c:v>
                </c:pt>
                <c:pt idx="8">
                  <c:v>43555</c:v>
                </c:pt>
                <c:pt idx="9">
                  <c:v>43646</c:v>
                </c:pt>
                <c:pt idx="10">
                  <c:v>43738</c:v>
                </c:pt>
                <c:pt idx="11">
                  <c:v>43830</c:v>
                </c:pt>
                <c:pt idx="12">
                  <c:v>43921</c:v>
                </c:pt>
                <c:pt idx="13">
                  <c:v>44012</c:v>
                </c:pt>
                <c:pt idx="14">
                  <c:v>44104</c:v>
                </c:pt>
                <c:pt idx="15">
                  <c:v>44196</c:v>
                </c:pt>
                <c:pt idx="16">
                  <c:v>44286</c:v>
                </c:pt>
                <c:pt idx="17">
                  <c:v>44377</c:v>
                </c:pt>
                <c:pt idx="18">
                  <c:v>44469</c:v>
                </c:pt>
                <c:pt idx="19">
                  <c:v>44561</c:v>
                </c:pt>
                <c:pt idx="20">
                  <c:v>44651</c:v>
                </c:pt>
                <c:pt idx="21">
                  <c:v>44742</c:v>
                </c:pt>
                <c:pt idx="22">
                  <c:v>44834</c:v>
                </c:pt>
                <c:pt idx="23">
                  <c:v>44925</c:v>
                </c:pt>
                <c:pt idx="24">
                  <c:v>45016</c:v>
                </c:pt>
                <c:pt idx="25">
                  <c:v>45107</c:v>
                </c:pt>
                <c:pt idx="26">
                  <c:v>45199</c:v>
                </c:pt>
                <c:pt idx="27">
                  <c:v>45291</c:v>
                </c:pt>
                <c:pt idx="28">
                  <c:v>45382</c:v>
                </c:pt>
              </c:numCache>
            </c:numRef>
          </c:cat>
          <c:val>
            <c:numRef>
              <c:f>FAT!$F$6:$AH$6</c:f>
              <c:numCache>
                <c:formatCode>0.0%</c:formatCode>
                <c:ptCount val="29"/>
                <c:pt idx="0">
                  <c:v>5.3525747970192494E-2</c:v>
                </c:pt>
                <c:pt idx="1">
                  <c:v>6.3136447091487247E-2</c:v>
                </c:pt>
                <c:pt idx="2">
                  <c:v>6.3478818075272114E-2</c:v>
                </c:pt>
                <c:pt idx="3">
                  <c:v>6.7731070524451598E-2</c:v>
                </c:pt>
                <c:pt idx="4">
                  <c:v>5.0354456438544082E-2</c:v>
                </c:pt>
                <c:pt idx="5">
                  <c:v>4.646938405873402E-2</c:v>
                </c:pt>
                <c:pt idx="6">
                  <c:v>5.0195902948690474E-2</c:v>
                </c:pt>
                <c:pt idx="7">
                  <c:v>4.8305280499506775E-2</c:v>
                </c:pt>
                <c:pt idx="8">
                  <c:v>4.0041329873095499E-2</c:v>
                </c:pt>
                <c:pt idx="9">
                  <c:v>3.9471102322983898E-2</c:v>
                </c:pt>
                <c:pt idx="10">
                  <c:v>2.9975128075547142E-2</c:v>
                </c:pt>
                <c:pt idx="11">
                  <c:v>2.8285769753445988E-2</c:v>
                </c:pt>
                <c:pt idx="12">
                  <c:v>3.249062584560658E-2</c:v>
                </c:pt>
                <c:pt idx="13">
                  <c:v>3.3340109778410065E-2</c:v>
                </c:pt>
                <c:pt idx="14">
                  <c:v>4.0137769140482282E-2</c:v>
                </c:pt>
                <c:pt idx="15">
                  <c:v>3.1500745747352177E-2</c:v>
                </c:pt>
                <c:pt idx="16">
                  <c:v>4.6668788258859228E-2</c:v>
                </c:pt>
                <c:pt idx="17">
                  <c:v>5.8786056228511629E-2</c:v>
                </c:pt>
                <c:pt idx="18">
                  <c:v>6.0001479919344236E-2</c:v>
                </c:pt>
                <c:pt idx="19">
                  <c:v>7.3551079426380284E-2</c:v>
                </c:pt>
                <c:pt idx="20">
                  <c:v>7.453677207039644E-2</c:v>
                </c:pt>
                <c:pt idx="21">
                  <c:v>7.9863384593604536E-2</c:v>
                </c:pt>
                <c:pt idx="22">
                  <c:v>8.6997495658851065E-2</c:v>
                </c:pt>
                <c:pt idx="23">
                  <c:v>7.8170286766460872E-2</c:v>
                </c:pt>
                <c:pt idx="24">
                  <c:v>6.8492580663953584E-2</c:v>
                </c:pt>
                <c:pt idx="25">
                  <c:v>5.0555537347186208E-2</c:v>
                </c:pt>
                <c:pt idx="26">
                  <c:v>4.4544878021369305E-2</c:v>
                </c:pt>
                <c:pt idx="27">
                  <c:v>4.6608896408861566E-2</c:v>
                </c:pt>
                <c:pt idx="28">
                  <c:v>4.4209394885854625E-2</c:v>
                </c:pt>
              </c:numCache>
            </c:numRef>
          </c:val>
          <c:smooth val="0"/>
          <c:extLst>
            <c:ext xmlns:c16="http://schemas.microsoft.com/office/drawing/2014/chart" uri="{C3380CC4-5D6E-409C-BE32-E72D297353CC}">
              <c16:uniqueId val="{00000000-788B-471B-8468-F34348C75043}"/>
            </c:ext>
          </c:extLst>
        </c:ser>
        <c:ser>
          <c:idx val="1"/>
          <c:order val="1"/>
          <c:tx>
            <c:v>Kymber Price Var</c:v>
          </c:tx>
          <c:spPr>
            <a:ln w="28575" cap="rnd">
              <a:solidFill>
                <a:schemeClr val="accent2"/>
              </a:solidFill>
              <a:round/>
            </a:ln>
            <a:effectLst/>
          </c:spPr>
          <c:marker>
            <c:symbol val="none"/>
          </c:marker>
          <c:cat>
            <c:numRef>
              <c:f>FAT!$F$8:$AH$8</c:f>
              <c:numCache>
                <c:formatCode>mmm\-yy</c:formatCode>
                <c:ptCount val="29"/>
                <c:pt idx="0">
                  <c:v>42825</c:v>
                </c:pt>
                <c:pt idx="1">
                  <c:v>42916</c:v>
                </c:pt>
                <c:pt idx="2">
                  <c:v>43008</c:v>
                </c:pt>
                <c:pt idx="3">
                  <c:v>43100</c:v>
                </c:pt>
                <c:pt idx="4">
                  <c:v>43190</c:v>
                </c:pt>
                <c:pt idx="5">
                  <c:v>43281</c:v>
                </c:pt>
                <c:pt idx="6">
                  <c:v>43373</c:v>
                </c:pt>
                <c:pt idx="7">
                  <c:v>43465</c:v>
                </c:pt>
                <c:pt idx="8">
                  <c:v>43555</c:v>
                </c:pt>
                <c:pt idx="9">
                  <c:v>43646</c:v>
                </c:pt>
                <c:pt idx="10">
                  <c:v>43738</c:v>
                </c:pt>
                <c:pt idx="11">
                  <c:v>43830</c:v>
                </c:pt>
                <c:pt idx="12">
                  <c:v>43921</c:v>
                </c:pt>
                <c:pt idx="13">
                  <c:v>44012</c:v>
                </c:pt>
                <c:pt idx="14">
                  <c:v>44104</c:v>
                </c:pt>
                <c:pt idx="15">
                  <c:v>44196</c:v>
                </c:pt>
                <c:pt idx="16">
                  <c:v>44286</c:v>
                </c:pt>
                <c:pt idx="17">
                  <c:v>44377</c:v>
                </c:pt>
                <c:pt idx="18">
                  <c:v>44469</c:v>
                </c:pt>
                <c:pt idx="19">
                  <c:v>44561</c:v>
                </c:pt>
                <c:pt idx="20">
                  <c:v>44651</c:v>
                </c:pt>
                <c:pt idx="21">
                  <c:v>44742</c:v>
                </c:pt>
                <c:pt idx="22">
                  <c:v>44834</c:v>
                </c:pt>
                <c:pt idx="23">
                  <c:v>44925</c:v>
                </c:pt>
                <c:pt idx="24">
                  <c:v>45016</c:v>
                </c:pt>
                <c:pt idx="25">
                  <c:v>45107</c:v>
                </c:pt>
                <c:pt idx="26">
                  <c:v>45199</c:v>
                </c:pt>
                <c:pt idx="27">
                  <c:v>45291</c:v>
                </c:pt>
                <c:pt idx="28">
                  <c:v>45382</c:v>
                </c:pt>
              </c:numCache>
            </c:numRef>
          </c:cat>
          <c:val>
            <c:numRef>
              <c:f>FAT!$F$17:$AH$17</c:f>
              <c:numCache>
                <c:formatCode>0.0%</c:formatCode>
                <c:ptCount val="29"/>
                <c:pt idx="0">
                  <c:v>6.9000000000000006E-2</c:v>
                </c:pt>
                <c:pt idx="1">
                  <c:v>7.0000000000000007E-2</c:v>
                </c:pt>
                <c:pt idx="2">
                  <c:v>3.9E-2</c:v>
                </c:pt>
                <c:pt idx="3">
                  <c:v>3.1E-2</c:v>
                </c:pt>
                <c:pt idx="4">
                  <c:v>5.1999999999999998E-2</c:v>
                </c:pt>
                <c:pt idx="5">
                  <c:v>6.8000000000000005E-2</c:v>
                </c:pt>
                <c:pt idx="6">
                  <c:v>8.6999999999999994E-2</c:v>
                </c:pt>
                <c:pt idx="7">
                  <c:v>0.09</c:v>
                </c:pt>
                <c:pt idx="8">
                  <c:v>0.08</c:v>
                </c:pt>
                <c:pt idx="9">
                  <c:v>0.08</c:v>
                </c:pt>
                <c:pt idx="10">
                  <c:v>0.06</c:v>
                </c:pt>
                <c:pt idx="11">
                  <c:v>0</c:v>
                </c:pt>
                <c:pt idx="12">
                  <c:v>-0.01</c:v>
                </c:pt>
                <c:pt idx="13">
                  <c:v>0.05</c:v>
                </c:pt>
                <c:pt idx="14">
                  <c:v>0</c:v>
                </c:pt>
                <c:pt idx="15">
                  <c:v>0.04</c:v>
                </c:pt>
                <c:pt idx="16">
                  <c:v>0.06</c:v>
                </c:pt>
                <c:pt idx="17">
                  <c:v>0.01</c:v>
                </c:pt>
                <c:pt idx="18">
                  <c:v>0.02</c:v>
                </c:pt>
                <c:pt idx="19">
                  <c:v>0.05</c:v>
                </c:pt>
                <c:pt idx="20">
                  <c:v>7.0000000000000007E-2</c:v>
                </c:pt>
                <c:pt idx="21">
                  <c:v>0.13</c:v>
                </c:pt>
                <c:pt idx="22">
                  <c:v>0.185</c:v>
                </c:pt>
                <c:pt idx="23">
                  <c:v>0.16</c:v>
                </c:pt>
                <c:pt idx="24">
                  <c:v>0.11</c:v>
                </c:pt>
                <c:pt idx="25">
                  <c:v>7.0999999999999994E-2</c:v>
                </c:pt>
                <c:pt idx="26">
                  <c:v>0.01</c:v>
                </c:pt>
                <c:pt idx="27">
                  <c:v>6.3E-2</c:v>
                </c:pt>
                <c:pt idx="28">
                  <c:v>1.2E-2</c:v>
                </c:pt>
              </c:numCache>
            </c:numRef>
          </c:val>
          <c:smooth val="0"/>
          <c:extLst>
            <c:ext xmlns:c16="http://schemas.microsoft.com/office/drawing/2014/chart" uri="{C3380CC4-5D6E-409C-BE32-E72D297353CC}">
              <c16:uniqueId val="{00000001-788B-471B-8468-F34348C75043}"/>
            </c:ext>
          </c:extLst>
        </c:ser>
        <c:dLbls>
          <c:showLegendKey val="0"/>
          <c:showVal val="0"/>
          <c:showCatName val="0"/>
          <c:showSerName val="0"/>
          <c:showPercent val="0"/>
          <c:showBubbleSize val="0"/>
        </c:dLbls>
        <c:smooth val="0"/>
        <c:axId val="1131093032"/>
        <c:axId val="1131089792"/>
      </c:lineChart>
      <c:dateAx>
        <c:axId val="11310930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89792"/>
        <c:crosses val="autoZero"/>
        <c:auto val="1"/>
        <c:lblOffset val="100"/>
        <c:baseTimeUnit val="months"/>
      </c:dateAx>
      <c:valAx>
        <c:axId val="1131089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93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ipc</c:v>
          </c:tx>
          <c:spPr>
            <a:ln w="28575" cap="rnd">
              <a:solidFill>
                <a:schemeClr val="accent1"/>
              </a:solidFill>
              <a:round/>
            </a:ln>
            <a:effectLst/>
          </c:spPr>
          <c:marker>
            <c:symbol val="none"/>
          </c:marker>
          <c:val>
            <c:numRef>
              <c:f>IPCN!#REF!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IPCN!#REF!</c15:sqref>
                        </c15:formulaRef>
                      </c:ext>
                    </c:extLst>
                    <c:strCache>
                      <c:ptCount val="1"/>
                      <c:pt idx="0">
                        <c:v>#¡REF!</c:v>
                      </c:pt>
                    </c:strCache>
                  </c:strRef>
                </c15:cat>
              </c15:filteredCategoryTitle>
            </c:ext>
            <c:ext xmlns:c16="http://schemas.microsoft.com/office/drawing/2014/chart" uri="{C3380CC4-5D6E-409C-BE32-E72D297353CC}">
              <c16:uniqueId val="{00000000-C711-4CB9-ADE1-C867013D814A}"/>
            </c:ext>
          </c:extLst>
        </c:ser>
        <c:ser>
          <c:idx val="1"/>
          <c:order val="1"/>
          <c:tx>
            <c:v>kymberly pricing</c:v>
          </c:tx>
          <c:spPr>
            <a:ln w="28575" cap="rnd">
              <a:solidFill>
                <a:schemeClr val="accent2"/>
              </a:solidFill>
              <a:round/>
            </a:ln>
            <a:effectLst/>
          </c:spPr>
          <c:marker>
            <c:symbol val="none"/>
          </c:marker>
          <c:val>
            <c:numRef>
              <c:f>IPCN!#REF!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IPCN!#REF!</c15:sqref>
                        </c15:formulaRef>
                      </c:ext>
                    </c:extLst>
                    <c:strCache>
                      <c:ptCount val="1"/>
                      <c:pt idx="0">
                        <c:v>#¡REF!</c:v>
                      </c:pt>
                    </c:strCache>
                  </c:strRef>
                </c15:cat>
              </c15:filteredCategoryTitle>
            </c:ext>
            <c:ext xmlns:c16="http://schemas.microsoft.com/office/drawing/2014/chart" uri="{C3380CC4-5D6E-409C-BE32-E72D297353CC}">
              <c16:uniqueId val="{00000001-C711-4CB9-ADE1-C867013D814A}"/>
            </c:ext>
          </c:extLst>
        </c:ser>
        <c:dLbls>
          <c:showLegendKey val="0"/>
          <c:showVal val="0"/>
          <c:showCatName val="0"/>
          <c:showSerName val="0"/>
          <c:showPercent val="0"/>
          <c:showBubbleSize val="0"/>
        </c:dLbls>
        <c:smooth val="0"/>
        <c:axId val="779308800"/>
        <c:axId val="779309520"/>
      </c:lineChart>
      <c:catAx>
        <c:axId val="7793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09520"/>
        <c:crosses val="autoZero"/>
        <c:auto val="1"/>
        <c:lblAlgn val="ctr"/>
        <c:lblOffset val="100"/>
        <c:noMultiLvlLbl val="0"/>
      </c:catAx>
      <c:valAx>
        <c:axId val="779309520"/>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0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181758530183728E-2"/>
          <c:y val="5.0925925925925923E-2"/>
          <c:w val="0.89562948381452334"/>
          <c:h val="0.89210513579419592"/>
        </c:manualLayout>
      </c:layout>
      <c:lineChart>
        <c:grouping val="standard"/>
        <c:varyColors val="0"/>
        <c:ser>
          <c:idx val="0"/>
          <c:order val="0"/>
          <c:tx>
            <c:strRef>
              <c:f>FAT!#REF!</c:f>
              <c:strCache>
                <c:ptCount val="1"/>
                <c:pt idx="0">
                  <c:v>#¡REF!</c:v>
                </c:pt>
              </c:strCache>
            </c:strRef>
          </c:tx>
          <c:marker>
            <c:symbol val="none"/>
          </c:marker>
          <c:val>
            <c:numRef>
              <c:f>FAT!#REF!</c:f>
              <c:numCache>
                <c:formatCode>General</c:formatCode>
                <c:ptCount val="1"/>
                <c:pt idx="0">
                  <c:v>1</c:v>
                </c:pt>
              </c:numCache>
            </c:numRef>
          </c:val>
          <c:smooth val="0"/>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0-218E-4C7F-AF16-3C978A6D506C}"/>
            </c:ext>
          </c:extLst>
        </c:ser>
        <c:ser>
          <c:idx val="2"/>
          <c:order val="1"/>
          <c:tx>
            <c:strRef>
              <c:f>FAT!$A$22</c:f>
              <c:strCache>
                <c:ptCount val="1"/>
                <c:pt idx="0">
                  <c:v> COGS</c:v>
                </c:pt>
              </c:strCache>
            </c:strRef>
          </c:tx>
          <c:marker>
            <c:symbol val="none"/>
          </c:marker>
          <c:val>
            <c:numRef>
              <c:f>FAT!$AW$22:$BX$22</c:f>
              <c:numCache>
                <c:formatCode>#,##0.0</c:formatCode>
                <c:ptCount val="9"/>
                <c:pt idx="0">
                  <c:v>-21875.362000000001</c:v>
                </c:pt>
                <c:pt idx="1">
                  <c:v>-24363.769</c:v>
                </c:pt>
                <c:pt idx="2">
                  <c:v>-26686.297999999999</c:v>
                </c:pt>
                <c:pt idx="3">
                  <c:v>-27179.508000000002</c:v>
                </c:pt>
                <c:pt idx="4">
                  <c:v>-28693.620999999999</c:v>
                </c:pt>
                <c:pt idx="5">
                  <c:v>-31108.287000000004</c:v>
                </c:pt>
                <c:pt idx="6">
                  <c:v>-34282.394</c:v>
                </c:pt>
                <c:pt idx="7">
                  <c:v>-32607.014999999999</c:v>
                </c:pt>
                <c:pt idx="8">
                  <c:v>-32398.989000000001</c:v>
                </c:pt>
              </c:numCache>
            </c:numRef>
          </c:val>
          <c:smooth val="0"/>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1-218E-4C7F-AF16-3C978A6D506C}"/>
            </c:ext>
          </c:extLst>
        </c:ser>
        <c:ser>
          <c:idx val="1"/>
          <c:order val="2"/>
          <c:tx>
            <c:strRef>
              <c:f>FAT!#REF!</c:f>
              <c:strCache>
                <c:ptCount val="1"/>
                <c:pt idx="0">
                  <c:v>#¡REF!</c:v>
                </c:pt>
              </c:strCache>
            </c:strRef>
          </c:tx>
          <c:marker>
            <c:symbol val="none"/>
          </c:marker>
          <c:val>
            <c:numRef>
              <c:f>FAT!#REF!</c:f>
              <c:numCache>
                <c:formatCode>General</c:formatCode>
                <c:ptCount val="1"/>
                <c:pt idx="0">
                  <c:v>1</c:v>
                </c:pt>
              </c:numCache>
            </c:numRef>
          </c:val>
          <c:smooth val="0"/>
          <c:extLst>
            <c:ext xmlns:c15="http://schemas.microsoft.com/office/drawing/2012/chart" uri="{02D57815-91ED-43cb-92C2-25804820EDAC}">
              <c15:filteredCategoryTitle>
                <c15:cat>
                  <c:strLit>
                    <c:ptCount val="1"/>
                    <c:pt idx="0">
                      <c:v>#REF!</c:v>
                    </c:pt>
                  </c:strLit>
                </c15:cat>
              </c15:filteredCategoryTitle>
            </c:ext>
            <c:ext xmlns:c16="http://schemas.microsoft.com/office/drawing/2014/chart" uri="{C3380CC4-5D6E-409C-BE32-E72D297353CC}">
              <c16:uniqueId val="{00000002-218E-4C7F-AF16-3C978A6D506C}"/>
            </c:ext>
          </c:extLst>
        </c:ser>
        <c:dLbls>
          <c:showLegendKey val="0"/>
          <c:showVal val="0"/>
          <c:showCatName val="0"/>
          <c:showSerName val="0"/>
          <c:showPercent val="0"/>
          <c:showBubbleSize val="0"/>
        </c:dLbls>
        <c:smooth val="0"/>
        <c:axId val="620096632"/>
        <c:axId val="620093888"/>
      </c:lineChart>
      <c:catAx>
        <c:axId val="62009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333333"/>
                </a:solidFill>
                <a:latin typeface="Calibri"/>
                <a:ea typeface="Calibri"/>
                <a:cs typeface="Calibri"/>
              </a:defRPr>
            </a:pPr>
            <a:endParaRPr lang="en-US"/>
          </a:p>
        </c:txPr>
        <c:crossAx val="620093888"/>
        <c:crosses val="autoZero"/>
        <c:auto val="1"/>
        <c:lblAlgn val="ctr"/>
        <c:lblOffset val="100"/>
        <c:noMultiLvlLbl val="0"/>
      </c:catAx>
      <c:valAx>
        <c:axId val="620093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n-US"/>
          </a:p>
        </c:txPr>
        <c:crossAx val="620096632"/>
        <c:crosses val="autoZero"/>
        <c:crossBetween val="between"/>
      </c:valAx>
      <c:spPr>
        <a:noFill/>
        <a:ln w="25400">
          <a:noFill/>
        </a:ln>
      </c:spPr>
    </c:plotArea>
    <c:legend>
      <c:legendPos val="r"/>
      <c:layout>
        <c:manualLayout>
          <c:xMode val="edge"/>
          <c:yMode val="edge"/>
          <c:x val="0.13241372180774996"/>
          <c:y val="0.68694715399381046"/>
          <c:w val="0.3261929051321415"/>
          <c:h val="0.2052127977673677"/>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81758530183728E-2"/>
          <c:y val="5.0925925925925923E-2"/>
          <c:w val="0.89562948381452334"/>
          <c:h val="0.90387435417045081"/>
        </c:manualLayout>
      </c:layout>
      <c:lineChart>
        <c:grouping val="standard"/>
        <c:varyColors val="0"/>
        <c:ser>
          <c:idx val="2"/>
          <c:order val="1"/>
          <c:tx>
            <c:strRef>
              <c:f>FAT!$A$64</c:f>
              <c:strCache>
                <c:ptCount val="1"/>
                <c:pt idx="0">
                  <c:v>Cost Index MXN</c:v>
                </c:pt>
              </c:strCache>
            </c:strRef>
          </c:tx>
          <c:marker>
            <c:symbol val="none"/>
          </c:marker>
          <c:cat>
            <c:numRef>
              <c:f>FAT!$B$1:$AG$1</c:f>
              <c:numCache>
                <c:formatCode>mmm\-yy</c:formatCode>
                <c:ptCount val="32"/>
                <c:pt idx="0">
                  <c:v>42460</c:v>
                </c:pt>
                <c:pt idx="1">
                  <c:v>42551</c:v>
                </c:pt>
                <c:pt idx="2">
                  <c:v>42643</c:v>
                </c:pt>
                <c:pt idx="3">
                  <c:v>42735</c:v>
                </c:pt>
                <c:pt idx="4">
                  <c:v>42825</c:v>
                </c:pt>
                <c:pt idx="5">
                  <c:v>42916</c:v>
                </c:pt>
                <c:pt idx="6">
                  <c:v>43008</c:v>
                </c:pt>
                <c:pt idx="7">
                  <c:v>43100</c:v>
                </c:pt>
                <c:pt idx="8">
                  <c:v>43190</c:v>
                </c:pt>
                <c:pt idx="9">
                  <c:v>43281</c:v>
                </c:pt>
                <c:pt idx="10">
                  <c:v>43373</c:v>
                </c:pt>
                <c:pt idx="11">
                  <c:v>43465</c:v>
                </c:pt>
                <c:pt idx="12">
                  <c:v>43555</c:v>
                </c:pt>
                <c:pt idx="13">
                  <c:v>43646</c:v>
                </c:pt>
                <c:pt idx="14">
                  <c:v>43738</c:v>
                </c:pt>
                <c:pt idx="15">
                  <c:v>43830</c:v>
                </c:pt>
                <c:pt idx="16">
                  <c:v>43921</c:v>
                </c:pt>
                <c:pt idx="17">
                  <c:v>44012</c:v>
                </c:pt>
                <c:pt idx="18">
                  <c:v>44104</c:v>
                </c:pt>
                <c:pt idx="19">
                  <c:v>44196</c:v>
                </c:pt>
                <c:pt idx="20">
                  <c:v>44286</c:v>
                </c:pt>
                <c:pt idx="21">
                  <c:v>44377</c:v>
                </c:pt>
                <c:pt idx="22">
                  <c:v>44469</c:v>
                </c:pt>
                <c:pt idx="23">
                  <c:v>44561</c:v>
                </c:pt>
                <c:pt idx="24">
                  <c:v>44651</c:v>
                </c:pt>
                <c:pt idx="25">
                  <c:v>44742</c:v>
                </c:pt>
                <c:pt idx="26">
                  <c:v>44834</c:v>
                </c:pt>
                <c:pt idx="27">
                  <c:v>44925</c:v>
                </c:pt>
                <c:pt idx="28">
                  <c:v>45016</c:v>
                </c:pt>
                <c:pt idx="29">
                  <c:v>45107</c:v>
                </c:pt>
                <c:pt idx="30">
                  <c:v>45199</c:v>
                </c:pt>
                <c:pt idx="31">
                  <c:v>45291</c:v>
                </c:pt>
              </c:numCache>
            </c:numRef>
          </c:cat>
          <c:val>
            <c:numRef>
              <c:f>FAT!$B$64:$AG$64</c:f>
              <c:numCache>
                <c:formatCode>General</c:formatCode>
                <c:ptCount val="32"/>
                <c:pt idx="4" formatCode="0%">
                  <c:v>0.29243162933674238</c:v>
                </c:pt>
                <c:pt idx="5" formatCode="0%">
                  <c:v>3.0060567972396774E-2</c:v>
                </c:pt>
                <c:pt idx="6" formatCode="0%">
                  <c:v>6.2954009817765083E-2</c:v>
                </c:pt>
                <c:pt idx="7" formatCode="0%">
                  <c:v>0.16023862937505484</c:v>
                </c:pt>
                <c:pt idx="8" formatCode="0%">
                  <c:v>0.17699185262614017</c:v>
                </c:pt>
                <c:pt idx="9" formatCode="0%">
                  <c:v>0.41185996003859482</c:v>
                </c:pt>
                <c:pt idx="10" formatCode="0%">
                  <c:v>0.36845906483443158</c:v>
                </c:pt>
                <c:pt idx="11" formatCode="0%">
                  <c:v>0.16276474182775277</c:v>
                </c:pt>
                <c:pt idx="12" formatCode="0%">
                  <c:v>4.6810020024368536E-2</c:v>
                </c:pt>
                <c:pt idx="13" formatCode="0%">
                  <c:v>-3.8649455471433031E-2</c:v>
                </c:pt>
                <c:pt idx="14" formatCode="0%">
                  <c:v>-8.111639482249336E-2</c:v>
                </c:pt>
                <c:pt idx="15" formatCode="0%">
                  <c:v>-0.12023017625662574</c:v>
                </c:pt>
                <c:pt idx="16" formatCode="0%">
                  <c:v>-0.1600965464369524</c:v>
                </c:pt>
                <c:pt idx="17" formatCode="0%">
                  <c:v>-0.20569162638834379</c:v>
                </c:pt>
                <c:pt idx="18" formatCode="0%">
                  <c:v>-0.12948880166850962</c:v>
                </c:pt>
                <c:pt idx="19" formatCode="0%">
                  <c:v>-0.11685559250550771</c:v>
                </c:pt>
                <c:pt idx="20" formatCode="0%">
                  <c:v>9.6282622366069992E-2</c:v>
                </c:pt>
                <c:pt idx="21" formatCode="0%">
                  <c:v>0.30194721088607268</c:v>
                </c:pt>
                <c:pt idx="22" formatCode="0%">
                  <c:v>0.33342770794062482</c:v>
                </c:pt>
                <c:pt idx="23" formatCode="0%">
                  <c:v>0.55535361391471694</c:v>
                </c:pt>
                <c:pt idx="24" formatCode="0%">
                  <c:v>0.41113138257384074</c:v>
                </c:pt>
                <c:pt idx="25" formatCode="0%">
                  <c:v>0.4437691206995325</c:v>
                </c:pt>
                <c:pt idx="26" formatCode="0%">
                  <c:v>0.24689088242709853</c:v>
                </c:pt>
                <c:pt idx="27" formatCode="0%">
                  <c:v>8.9556102552246372E-2</c:v>
                </c:pt>
                <c:pt idx="28" formatCode="0%">
                  <c:v>5.7282576562387999E-3</c:v>
                </c:pt>
                <c:pt idx="29" formatCode="0%">
                  <c:v>-0.12803158287719307</c:v>
                </c:pt>
                <c:pt idx="30" formatCode="0%">
                  <c:v>-0.17396058677884277</c:v>
                </c:pt>
                <c:pt idx="31" formatCode="0%">
                  <c:v>-0.20631488882633159</c:v>
                </c:pt>
              </c:numCache>
            </c:numRef>
          </c:val>
          <c:smooth val="0"/>
          <c:extLst>
            <c:ext xmlns:c16="http://schemas.microsoft.com/office/drawing/2014/chart" uri="{C3380CC4-5D6E-409C-BE32-E72D297353CC}">
              <c16:uniqueId val="{00000000-CBB6-4CE1-BFB3-51228194EB7F}"/>
            </c:ext>
          </c:extLst>
        </c:ser>
        <c:dLbls>
          <c:showLegendKey val="0"/>
          <c:showVal val="0"/>
          <c:showCatName val="0"/>
          <c:showSerName val="0"/>
          <c:showPercent val="0"/>
          <c:showBubbleSize val="0"/>
        </c:dLbls>
        <c:marker val="1"/>
        <c:smooth val="0"/>
        <c:axId val="567219632"/>
        <c:axId val="567220024"/>
      </c:lineChart>
      <c:lineChart>
        <c:grouping val="standard"/>
        <c:varyColors val="0"/>
        <c:ser>
          <c:idx val="0"/>
          <c:order val="0"/>
          <c:tx>
            <c:strRef>
              <c:f>FAT!#REF!</c:f>
              <c:strCache>
                <c:ptCount val="1"/>
                <c:pt idx="0">
                  <c:v>#¡REF!</c:v>
                </c:pt>
              </c:strCache>
            </c:strRef>
          </c:tx>
          <c:marker>
            <c:symbol val="none"/>
          </c:marker>
          <c:cat>
            <c:numRef>
              <c:f>FAT!$B$1:$AG$1</c:f>
              <c:numCache>
                <c:formatCode>mmm\-yy</c:formatCode>
                <c:ptCount val="32"/>
                <c:pt idx="0">
                  <c:v>42460</c:v>
                </c:pt>
                <c:pt idx="1">
                  <c:v>42551</c:v>
                </c:pt>
                <c:pt idx="2">
                  <c:v>42643</c:v>
                </c:pt>
                <c:pt idx="3">
                  <c:v>42735</c:v>
                </c:pt>
                <c:pt idx="4">
                  <c:v>42825</c:v>
                </c:pt>
                <c:pt idx="5">
                  <c:v>42916</c:v>
                </c:pt>
                <c:pt idx="6">
                  <c:v>43008</c:v>
                </c:pt>
                <c:pt idx="7">
                  <c:v>43100</c:v>
                </c:pt>
                <c:pt idx="8">
                  <c:v>43190</c:v>
                </c:pt>
                <c:pt idx="9">
                  <c:v>43281</c:v>
                </c:pt>
                <c:pt idx="10">
                  <c:v>43373</c:v>
                </c:pt>
                <c:pt idx="11">
                  <c:v>43465</c:v>
                </c:pt>
                <c:pt idx="12">
                  <c:v>43555</c:v>
                </c:pt>
                <c:pt idx="13">
                  <c:v>43646</c:v>
                </c:pt>
                <c:pt idx="14">
                  <c:v>43738</c:v>
                </c:pt>
                <c:pt idx="15">
                  <c:v>43830</c:v>
                </c:pt>
                <c:pt idx="16">
                  <c:v>43921</c:v>
                </c:pt>
                <c:pt idx="17">
                  <c:v>44012</c:v>
                </c:pt>
                <c:pt idx="18">
                  <c:v>44104</c:v>
                </c:pt>
                <c:pt idx="19">
                  <c:v>44196</c:v>
                </c:pt>
                <c:pt idx="20">
                  <c:v>44286</c:v>
                </c:pt>
                <c:pt idx="21">
                  <c:v>44377</c:v>
                </c:pt>
                <c:pt idx="22">
                  <c:v>44469</c:v>
                </c:pt>
                <c:pt idx="23">
                  <c:v>44561</c:v>
                </c:pt>
                <c:pt idx="24">
                  <c:v>44651</c:v>
                </c:pt>
                <c:pt idx="25">
                  <c:v>44742</c:v>
                </c:pt>
                <c:pt idx="26">
                  <c:v>44834</c:v>
                </c:pt>
                <c:pt idx="27">
                  <c:v>44925</c:v>
                </c:pt>
                <c:pt idx="28">
                  <c:v>45016</c:v>
                </c:pt>
                <c:pt idx="29">
                  <c:v>45107</c:v>
                </c:pt>
                <c:pt idx="30">
                  <c:v>45199</c:v>
                </c:pt>
                <c:pt idx="31">
                  <c:v>45291</c:v>
                </c:pt>
              </c:numCache>
            </c:numRef>
          </c:cat>
          <c:val>
            <c:numRef>
              <c:f>FAT!#REF!</c:f>
              <c:numCache>
                <c:formatCode>General</c:formatCode>
                <c:ptCount val="1"/>
                <c:pt idx="0">
                  <c:v>1</c:v>
                </c:pt>
              </c:numCache>
            </c:numRef>
          </c:val>
          <c:smooth val="0"/>
          <c:extLst>
            <c:ext xmlns:c16="http://schemas.microsoft.com/office/drawing/2014/chart" uri="{C3380CC4-5D6E-409C-BE32-E72D297353CC}">
              <c16:uniqueId val="{00000001-CBB6-4CE1-BFB3-51228194EB7F}"/>
            </c:ext>
          </c:extLst>
        </c:ser>
        <c:dLbls>
          <c:showLegendKey val="0"/>
          <c:showVal val="0"/>
          <c:showCatName val="0"/>
          <c:showSerName val="0"/>
          <c:showPercent val="0"/>
          <c:showBubbleSize val="0"/>
        </c:dLbls>
        <c:marker val="1"/>
        <c:smooth val="0"/>
        <c:axId val="919310248"/>
        <c:axId val="919314184"/>
      </c:lineChart>
      <c:dateAx>
        <c:axId val="5672196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333333"/>
                </a:solidFill>
                <a:latin typeface="Calibri"/>
                <a:ea typeface="Calibri"/>
                <a:cs typeface="Calibri"/>
              </a:defRPr>
            </a:pPr>
            <a:endParaRPr lang="en-US"/>
          </a:p>
        </c:txPr>
        <c:crossAx val="567220024"/>
        <c:crosses val="autoZero"/>
        <c:auto val="1"/>
        <c:lblOffset val="100"/>
        <c:baseTimeUnit val="months"/>
      </c:dateAx>
      <c:valAx>
        <c:axId val="567220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n-US"/>
          </a:p>
        </c:txPr>
        <c:crossAx val="567219632"/>
        <c:crosses val="autoZero"/>
        <c:crossBetween val="between"/>
      </c:valAx>
      <c:valAx>
        <c:axId val="919314184"/>
        <c:scaling>
          <c:orientation val="minMax"/>
        </c:scaling>
        <c:delete val="0"/>
        <c:axPos val="r"/>
        <c:numFmt formatCode="General" sourceLinked="1"/>
        <c:majorTickMark val="out"/>
        <c:minorTickMark val="none"/>
        <c:tickLblPos val="nextTo"/>
        <c:crossAx val="919310248"/>
        <c:crosses val="max"/>
        <c:crossBetween val="between"/>
      </c:valAx>
      <c:dateAx>
        <c:axId val="919310248"/>
        <c:scaling>
          <c:orientation val="minMax"/>
        </c:scaling>
        <c:delete val="1"/>
        <c:axPos val="b"/>
        <c:numFmt formatCode="mmm\-yy" sourceLinked="1"/>
        <c:majorTickMark val="out"/>
        <c:minorTickMark val="none"/>
        <c:tickLblPos val="nextTo"/>
        <c:crossAx val="919314184"/>
        <c:crosses val="autoZero"/>
        <c:auto val="1"/>
        <c:lblOffset val="100"/>
        <c:baseTimeUnit val="months"/>
      </c:dateAx>
      <c:spPr>
        <a:noFill/>
        <a:ln w="25400">
          <a:noFill/>
        </a:ln>
      </c:spPr>
    </c:plotArea>
    <c:legend>
      <c:legendPos val="r"/>
      <c:layout>
        <c:manualLayout>
          <c:xMode val="edge"/>
          <c:yMode val="edge"/>
          <c:x val="0.38403237478382291"/>
          <c:y val="0.1328632484643959"/>
          <c:w val="0.47951767551070684"/>
          <c:h val="0.15758524777065933"/>
        </c:manualLayout>
      </c:layout>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71354069485390159"/>
        </c:manualLayout>
      </c:layout>
      <c:lineChart>
        <c:grouping val="standard"/>
        <c:varyColors val="0"/>
        <c:ser>
          <c:idx val="2"/>
          <c:order val="0"/>
          <c:tx>
            <c:strRef>
              <c:f>PROJ!$A$17</c:f>
              <c:strCache>
                <c:ptCount val="1"/>
                <c:pt idx="0">
                  <c:v>  EBITDA Margin</c:v>
                </c:pt>
              </c:strCache>
            </c:strRef>
          </c:tx>
          <c:spPr>
            <a:ln w="28575" cap="rnd">
              <a:solidFill>
                <a:schemeClr val="accent3"/>
              </a:solidFill>
              <a:round/>
            </a:ln>
            <a:effectLst/>
          </c:spPr>
          <c:marker>
            <c:symbol val="none"/>
          </c:marker>
          <c:val>
            <c:numRef>
              <c:f>PROJ!$AW$17:$BX$17</c:f>
              <c:numCache>
                <c:formatCode>0.0%</c:formatCode>
                <c:ptCount val="5"/>
                <c:pt idx="0">
                  <c:v>0.26744862390222279</c:v>
                </c:pt>
                <c:pt idx="1">
                  <c:v>0.2193246068795677</c:v>
                </c:pt>
                <c:pt idx="2">
                  <c:v>0.21366774056997034</c:v>
                </c:pt>
                <c:pt idx="3">
                  <c:v>0.26106861954892507</c:v>
                </c:pt>
                <c:pt idx="4">
                  <c:v>0.27189274128189</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A09C-42FF-BBE9-F2391AAF69A1}"/>
            </c:ext>
          </c:extLst>
        </c:ser>
        <c:ser>
          <c:idx val="0"/>
          <c:order val="1"/>
          <c:tx>
            <c:strRef>
              <c:f>PROJ!$A$28</c:f>
              <c:strCache>
                <c:ptCount val="1"/>
                <c:pt idx="0">
                  <c:v>  NI Margin</c:v>
                </c:pt>
              </c:strCache>
            </c:strRef>
          </c:tx>
          <c:spPr>
            <a:ln w="28575" cap="rnd">
              <a:solidFill>
                <a:schemeClr val="accent1"/>
              </a:solidFill>
              <a:round/>
            </a:ln>
            <a:effectLst/>
          </c:spPr>
          <c:marker>
            <c:symbol val="none"/>
          </c:marker>
          <c:val>
            <c:numRef>
              <c:f>PROJ!$AW$28:$BX$28</c:f>
              <c:numCache>
                <c:formatCode>0.0%</c:formatCode>
                <c:ptCount val="5"/>
                <c:pt idx="0">
                  <c:v>0.13330154372657205</c:v>
                </c:pt>
                <c:pt idx="1">
                  <c:v>9.5830416380035782E-2</c:v>
                </c:pt>
                <c:pt idx="2">
                  <c:v>9.6646008894429716E-2</c:v>
                </c:pt>
                <c:pt idx="3">
                  <c:v>0.13155566616005462</c:v>
                </c:pt>
                <c:pt idx="4">
                  <c:v>0.14294221843724905</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1-A09C-42FF-BBE9-F2391AAF69A1}"/>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1"/>
      </c:catAx>
      <c:valAx>
        <c:axId val="10403350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41810203939486507"/>
          <c:y val="0.60061246471549556"/>
          <c:w val="0.23445213254781744"/>
          <c:h val="0.20606332740246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70761652423778776"/>
        </c:manualLayout>
      </c:layout>
      <c:lineChart>
        <c:grouping val="standard"/>
        <c:varyColors val="0"/>
        <c:ser>
          <c:idx val="2"/>
          <c:order val="0"/>
          <c:tx>
            <c:strRef>
              <c:f>PROJ!$A$25</c:f>
              <c:strCache>
                <c:ptCount val="1"/>
                <c:pt idx="0">
                  <c:v>   Effective Tax Rate</c:v>
                </c:pt>
              </c:strCache>
            </c:strRef>
          </c:tx>
          <c:spPr>
            <a:ln w="28575" cap="rnd">
              <a:solidFill>
                <a:schemeClr val="accent3"/>
              </a:solidFill>
              <a:round/>
            </a:ln>
            <a:effectLst/>
          </c:spPr>
          <c:marker>
            <c:symbol val="none"/>
          </c:marker>
          <c:val>
            <c:numRef>
              <c:f>PROJ!$AW$25:$BW$25</c:f>
              <c:numCache>
                <c:formatCode>0.0%</c:formatCode>
                <c:ptCount val="4"/>
                <c:pt idx="0">
                  <c:v>0.31467326367123699</c:v>
                </c:pt>
                <c:pt idx="1">
                  <c:v>0.32528295150072889</c:v>
                </c:pt>
                <c:pt idx="2">
                  <c:v>0.31921700734072828</c:v>
                </c:pt>
                <c:pt idx="3">
                  <c:v>0.32493403145312533</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AB2E-4661-AB91-00DE2548C1DC}"/>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1"/>
      </c:catAx>
      <c:valAx>
        <c:axId val="1040335080"/>
        <c:scaling>
          <c:orientation val="minMax"/>
          <c:max val="0.45"/>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41810203939486507"/>
          <c:y val="0.60061246471549556"/>
          <c:w val="0.24671169057565639"/>
          <c:h val="0.23879884118258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71354069485390159"/>
        </c:manualLayout>
      </c:layout>
      <c:lineChart>
        <c:grouping val="standard"/>
        <c:varyColors val="0"/>
        <c:ser>
          <c:idx val="2"/>
          <c:order val="0"/>
          <c:tx>
            <c:strRef>
              <c:f>PROJ!$A$13</c:f>
              <c:strCache>
                <c:ptCount val="1"/>
                <c:pt idx="0">
                  <c:v> As % Revenues</c:v>
                </c:pt>
              </c:strCache>
            </c:strRef>
          </c:tx>
          <c:spPr>
            <a:ln w="28575" cap="rnd">
              <a:solidFill>
                <a:schemeClr val="accent3"/>
              </a:solidFill>
              <a:round/>
            </a:ln>
            <a:effectLst/>
          </c:spPr>
          <c:marker>
            <c:symbol val="none"/>
          </c:marker>
          <c:val>
            <c:numRef>
              <c:f>PROJ!$AW$13:$BW$13</c:f>
              <c:numCache>
                <c:formatCode>0.0%</c:formatCode>
                <c:ptCount val="4"/>
                <c:pt idx="0">
                  <c:v>0.16069402121645776</c:v>
                </c:pt>
                <c:pt idx="1">
                  <c:v>0.15888793617208255</c:v>
                </c:pt>
                <c:pt idx="2">
                  <c:v>0.15371859878770441</c:v>
                </c:pt>
                <c:pt idx="3">
                  <c:v>0.1647867466095575</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4452-47DE-A2CD-AF29F86F6FF6}"/>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1"/>
      </c:catAx>
      <c:valAx>
        <c:axId val="1040335080"/>
        <c:scaling>
          <c:orientation val="minMax"/>
          <c:max val="0.2"/>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41810203939486507"/>
          <c:y val="0.60061246471549556"/>
          <c:w val="0.24671169057565639"/>
          <c:h val="0.23879884118258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67695437165888461"/>
        </c:manualLayout>
      </c:layout>
      <c:lineChart>
        <c:grouping val="standard"/>
        <c:varyColors val="0"/>
        <c:ser>
          <c:idx val="0"/>
          <c:order val="0"/>
          <c:tx>
            <c:strRef>
              <c:f>PROJ!$A$134</c:f>
              <c:strCache>
                <c:ptCount val="1"/>
                <c:pt idx="0">
                  <c:v> Capex % Revenues</c:v>
                </c:pt>
              </c:strCache>
            </c:strRef>
          </c:tx>
          <c:spPr>
            <a:ln w="28575" cap="rnd">
              <a:solidFill>
                <a:schemeClr val="accent1"/>
              </a:solidFill>
              <a:round/>
            </a:ln>
            <a:effectLst/>
          </c:spPr>
          <c:marker>
            <c:symbol val="none"/>
          </c:marker>
          <c:val>
            <c:numRef>
              <c:f>PROJ!$BD$134:$BV$134</c:f>
              <c:numCache>
                <c:formatCode>0.0%</c:formatCode>
                <c:ptCount val="3"/>
                <c:pt idx="0">
                  <c:v>1.7028516112330937E-2</c:v>
                </c:pt>
                <c:pt idx="1">
                  <c:v>4.5858226996084772E-2</c:v>
                </c:pt>
                <c:pt idx="2">
                  <c:v>4.194380963730085E-2</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0FEC-418E-96D3-D4C2220AA8F3}"/>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1"/>
      </c:catAx>
      <c:valAx>
        <c:axId val="10403350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37955489938757653"/>
          <c:y val="0.26186315252260134"/>
          <c:w val="0.3593339895013123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77870662000583257"/>
        </c:manualLayout>
      </c:layout>
      <c:lineChart>
        <c:grouping val="standard"/>
        <c:varyColors val="0"/>
        <c:ser>
          <c:idx val="0"/>
          <c:order val="0"/>
          <c:tx>
            <c:strRef>
              <c:f>PROJ!$A$146</c:f>
              <c:strCache>
                <c:ptCount val="1"/>
                <c:pt idx="0">
                  <c:v>Net Debt/EBITDA</c:v>
                </c:pt>
              </c:strCache>
            </c:strRef>
          </c:tx>
          <c:spPr>
            <a:ln w="28575" cap="rnd">
              <a:solidFill>
                <a:schemeClr val="accent1"/>
              </a:solidFill>
              <a:round/>
            </a:ln>
            <a:effectLst/>
          </c:spPr>
          <c:marker>
            <c:symbol val="none"/>
          </c:marker>
          <c:val>
            <c:numRef>
              <c:f>PROJ!$BD$146:$BW$146</c:f>
              <c:numCache>
                <c:formatCode>0.00\x</c:formatCode>
                <c:ptCount val="4"/>
                <c:pt idx="0">
                  <c:v>1.2735722992244178</c:v>
                </c:pt>
                <c:pt idx="1">
                  <c:v>1.6613056878949941</c:v>
                </c:pt>
                <c:pt idx="2">
                  <c:v>1.613198359486578</c:v>
                </c:pt>
                <c:pt idx="3">
                  <c:v>0.9158609677412165</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ADC5-47AE-9E60-33A9F93BAEA9}"/>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0"/>
      </c:catAx>
      <c:valAx>
        <c:axId val="1040335080"/>
        <c:scaling>
          <c:orientation val="minMax"/>
        </c:scaling>
        <c:delete val="0"/>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10177712160979878"/>
          <c:y val="0.27575204141149018"/>
          <c:w val="0.3593339895013123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IPC</c:v>
          </c:tx>
          <c:spPr>
            <a:ln w="28575" cap="rnd">
              <a:solidFill>
                <a:schemeClr val="accent1"/>
              </a:solidFill>
              <a:round/>
            </a:ln>
            <a:effectLst/>
          </c:spPr>
          <c:marker>
            <c:symbol val="none"/>
          </c:marker>
          <c:cat>
            <c:numRef>
              <c:f>FAT!$F$8:$AH$8</c:f>
              <c:numCache>
                <c:formatCode>mmm\-yy</c:formatCode>
                <c:ptCount val="29"/>
                <c:pt idx="0">
                  <c:v>42825</c:v>
                </c:pt>
                <c:pt idx="1">
                  <c:v>42916</c:v>
                </c:pt>
                <c:pt idx="2">
                  <c:v>43008</c:v>
                </c:pt>
                <c:pt idx="3">
                  <c:v>43100</c:v>
                </c:pt>
                <c:pt idx="4">
                  <c:v>43190</c:v>
                </c:pt>
                <c:pt idx="5">
                  <c:v>43281</c:v>
                </c:pt>
                <c:pt idx="6">
                  <c:v>43373</c:v>
                </c:pt>
                <c:pt idx="7">
                  <c:v>43465</c:v>
                </c:pt>
                <c:pt idx="8">
                  <c:v>43555</c:v>
                </c:pt>
                <c:pt idx="9">
                  <c:v>43646</c:v>
                </c:pt>
                <c:pt idx="10">
                  <c:v>43738</c:v>
                </c:pt>
                <c:pt idx="11">
                  <c:v>43830</c:v>
                </c:pt>
                <c:pt idx="12">
                  <c:v>43921</c:v>
                </c:pt>
                <c:pt idx="13">
                  <c:v>44012</c:v>
                </c:pt>
                <c:pt idx="14">
                  <c:v>44104</c:v>
                </c:pt>
                <c:pt idx="15">
                  <c:v>44196</c:v>
                </c:pt>
                <c:pt idx="16">
                  <c:v>44286</c:v>
                </c:pt>
                <c:pt idx="17">
                  <c:v>44377</c:v>
                </c:pt>
                <c:pt idx="18">
                  <c:v>44469</c:v>
                </c:pt>
                <c:pt idx="19">
                  <c:v>44561</c:v>
                </c:pt>
                <c:pt idx="20">
                  <c:v>44651</c:v>
                </c:pt>
                <c:pt idx="21">
                  <c:v>44742</c:v>
                </c:pt>
                <c:pt idx="22">
                  <c:v>44834</c:v>
                </c:pt>
                <c:pt idx="23">
                  <c:v>44925</c:v>
                </c:pt>
                <c:pt idx="24">
                  <c:v>45016</c:v>
                </c:pt>
                <c:pt idx="25">
                  <c:v>45107</c:v>
                </c:pt>
                <c:pt idx="26">
                  <c:v>45199</c:v>
                </c:pt>
                <c:pt idx="27">
                  <c:v>45291</c:v>
                </c:pt>
                <c:pt idx="28">
                  <c:v>45382</c:v>
                </c:pt>
              </c:numCache>
            </c:numRef>
          </c:cat>
          <c:val>
            <c:numRef>
              <c:f>FAT!$F$6:$AH$6</c:f>
              <c:numCache>
                <c:formatCode>0.0%</c:formatCode>
                <c:ptCount val="29"/>
                <c:pt idx="0">
                  <c:v>5.3525747970192494E-2</c:v>
                </c:pt>
                <c:pt idx="1">
                  <c:v>6.3136447091487247E-2</c:v>
                </c:pt>
                <c:pt idx="2">
                  <c:v>6.3478818075272114E-2</c:v>
                </c:pt>
                <c:pt idx="3">
                  <c:v>6.7731070524451598E-2</c:v>
                </c:pt>
                <c:pt idx="4">
                  <c:v>5.0354456438544082E-2</c:v>
                </c:pt>
                <c:pt idx="5">
                  <c:v>4.646938405873402E-2</c:v>
                </c:pt>
                <c:pt idx="6">
                  <c:v>5.0195902948690474E-2</c:v>
                </c:pt>
                <c:pt idx="7">
                  <c:v>4.8305280499506775E-2</c:v>
                </c:pt>
                <c:pt idx="8">
                  <c:v>4.0041329873095499E-2</c:v>
                </c:pt>
                <c:pt idx="9">
                  <c:v>3.9471102322983898E-2</c:v>
                </c:pt>
                <c:pt idx="10">
                  <c:v>2.9975128075547142E-2</c:v>
                </c:pt>
                <c:pt idx="11">
                  <c:v>2.8285769753445988E-2</c:v>
                </c:pt>
                <c:pt idx="12">
                  <c:v>3.249062584560658E-2</c:v>
                </c:pt>
                <c:pt idx="13">
                  <c:v>3.3340109778410065E-2</c:v>
                </c:pt>
                <c:pt idx="14">
                  <c:v>4.0137769140482282E-2</c:v>
                </c:pt>
                <c:pt idx="15">
                  <c:v>3.1500745747352177E-2</c:v>
                </c:pt>
                <c:pt idx="16">
                  <c:v>4.6668788258859228E-2</c:v>
                </c:pt>
                <c:pt idx="17">
                  <c:v>5.8786056228511629E-2</c:v>
                </c:pt>
                <c:pt idx="18">
                  <c:v>6.0001479919344236E-2</c:v>
                </c:pt>
                <c:pt idx="19">
                  <c:v>7.3551079426380284E-2</c:v>
                </c:pt>
                <c:pt idx="20">
                  <c:v>7.453677207039644E-2</c:v>
                </c:pt>
                <c:pt idx="21">
                  <c:v>7.9863384593604536E-2</c:v>
                </c:pt>
                <c:pt idx="22">
                  <c:v>8.6997495658851065E-2</c:v>
                </c:pt>
                <c:pt idx="23">
                  <c:v>7.8170286766460872E-2</c:v>
                </c:pt>
                <c:pt idx="24">
                  <c:v>6.8492580663953584E-2</c:v>
                </c:pt>
                <c:pt idx="25">
                  <c:v>5.0555537347186208E-2</c:v>
                </c:pt>
                <c:pt idx="26">
                  <c:v>4.4544878021369305E-2</c:v>
                </c:pt>
                <c:pt idx="27">
                  <c:v>4.6608896408861566E-2</c:v>
                </c:pt>
                <c:pt idx="28">
                  <c:v>4.4209394885854625E-2</c:v>
                </c:pt>
              </c:numCache>
            </c:numRef>
          </c:val>
          <c:smooth val="0"/>
          <c:extLst>
            <c:ext xmlns:c16="http://schemas.microsoft.com/office/drawing/2014/chart" uri="{C3380CC4-5D6E-409C-BE32-E72D297353CC}">
              <c16:uniqueId val="{00000000-84DB-412B-A9C1-C1DBF9CA0EED}"/>
            </c:ext>
          </c:extLst>
        </c:ser>
        <c:ser>
          <c:idx val="1"/>
          <c:order val="1"/>
          <c:tx>
            <c:v>Kymber Price Var</c:v>
          </c:tx>
          <c:spPr>
            <a:ln w="28575" cap="rnd">
              <a:solidFill>
                <a:schemeClr val="accent2"/>
              </a:solidFill>
              <a:round/>
            </a:ln>
            <a:effectLst/>
          </c:spPr>
          <c:marker>
            <c:symbol val="none"/>
          </c:marker>
          <c:cat>
            <c:numRef>
              <c:f>FAT!$F$8:$AH$8</c:f>
              <c:numCache>
                <c:formatCode>mmm\-yy</c:formatCode>
                <c:ptCount val="29"/>
                <c:pt idx="0">
                  <c:v>42825</c:v>
                </c:pt>
                <c:pt idx="1">
                  <c:v>42916</c:v>
                </c:pt>
                <c:pt idx="2">
                  <c:v>43008</c:v>
                </c:pt>
                <c:pt idx="3">
                  <c:v>43100</c:v>
                </c:pt>
                <c:pt idx="4">
                  <c:v>43190</c:v>
                </c:pt>
                <c:pt idx="5">
                  <c:v>43281</c:v>
                </c:pt>
                <c:pt idx="6">
                  <c:v>43373</c:v>
                </c:pt>
                <c:pt idx="7">
                  <c:v>43465</c:v>
                </c:pt>
                <c:pt idx="8">
                  <c:v>43555</c:v>
                </c:pt>
                <c:pt idx="9">
                  <c:v>43646</c:v>
                </c:pt>
                <c:pt idx="10">
                  <c:v>43738</c:v>
                </c:pt>
                <c:pt idx="11">
                  <c:v>43830</c:v>
                </c:pt>
                <c:pt idx="12">
                  <c:v>43921</c:v>
                </c:pt>
                <c:pt idx="13">
                  <c:v>44012</c:v>
                </c:pt>
                <c:pt idx="14">
                  <c:v>44104</c:v>
                </c:pt>
                <c:pt idx="15">
                  <c:v>44196</c:v>
                </c:pt>
                <c:pt idx="16">
                  <c:v>44286</c:v>
                </c:pt>
                <c:pt idx="17">
                  <c:v>44377</c:v>
                </c:pt>
                <c:pt idx="18">
                  <c:v>44469</c:v>
                </c:pt>
                <c:pt idx="19">
                  <c:v>44561</c:v>
                </c:pt>
                <c:pt idx="20">
                  <c:v>44651</c:v>
                </c:pt>
                <c:pt idx="21">
                  <c:v>44742</c:v>
                </c:pt>
                <c:pt idx="22">
                  <c:v>44834</c:v>
                </c:pt>
                <c:pt idx="23">
                  <c:v>44925</c:v>
                </c:pt>
                <c:pt idx="24">
                  <c:v>45016</c:v>
                </c:pt>
                <c:pt idx="25">
                  <c:v>45107</c:v>
                </c:pt>
                <c:pt idx="26">
                  <c:v>45199</c:v>
                </c:pt>
                <c:pt idx="27">
                  <c:v>45291</c:v>
                </c:pt>
                <c:pt idx="28">
                  <c:v>45382</c:v>
                </c:pt>
              </c:numCache>
            </c:numRef>
          </c:cat>
          <c:val>
            <c:numRef>
              <c:f>FAT!$F$17:$AH$17</c:f>
              <c:numCache>
                <c:formatCode>0.0%</c:formatCode>
                <c:ptCount val="29"/>
                <c:pt idx="0">
                  <c:v>6.9000000000000006E-2</c:v>
                </c:pt>
                <c:pt idx="1">
                  <c:v>7.0000000000000007E-2</c:v>
                </c:pt>
                <c:pt idx="2">
                  <c:v>3.9E-2</c:v>
                </c:pt>
                <c:pt idx="3">
                  <c:v>3.1E-2</c:v>
                </c:pt>
                <c:pt idx="4">
                  <c:v>5.1999999999999998E-2</c:v>
                </c:pt>
                <c:pt idx="5">
                  <c:v>6.8000000000000005E-2</c:v>
                </c:pt>
                <c:pt idx="6">
                  <c:v>8.6999999999999994E-2</c:v>
                </c:pt>
                <c:pt idx="7">
                  <c:v>0.09</c:v>
                </c:pt>
                <c:pt idx="8">
                  <c:v>0.08</c:v>
                </c:pt>
                <c:pt idx="9">
                  <c:v>0.08</c:v>
                </c:pt>
                <c:pt idx="10">
                  <c:v>0.06</c:v>
                </c:pt>
                <c:pt idx="11">
                  <c:v>0</c:v>
                </c:pt>
                <c:pt idx="12">
                  <c:v>-0.01</c:v>
                </c:pt>
                <c:pt idx="13">
                  <c:v>0.05</c:v>
                </c:pt>
                <c:pt idx="14">
                  <c:v>0</c:v>
                </c:pt>
                <c:pt idx="15">
                  <c:v>0.04</c:v>
                </c:pt>
                <c:pt idx="16">
                  <c:v>0.06</c:v>
                </c:pt>
                <c:pt idx="17">
                  <c:v>0.01</c:v>
                </c:pt>
                <c:pt idx="18">
                  <c:v>0.02</c:v>
                </c:pt>
                <c:pt idx="19">
                  <c:v>0.05</c:v>
                </c:pt>
                <c:pt idx="20">
                  <c:v>7.0000000000000007E-2</c:v>
                </c:pt>
                <c:pt idx="21">
                  <c:v>0.13</c:v>
                </c:pt>
                <c:pt idx="22">
                  <c:v>0.185</c:v>
                </c:pt>
                <c:pt idx="23">
                  <c:v>0.16</c:v>
                </c:pt>
                <c:pt idx="24">
                  <c:v>0.11</c:v>
                </c:pt>
                <c:pt idx="25">
                  <c:v>7.0999999999999994E-2</c:v>
                </c:pt>
                <c:pt idx="26">
                  <c:v>0.01</c:v>
                </c:pt>
                <c:pt idx="27">
                  <c:v>6.3E-2</c:v>
                </c:pt>
                <c:pt idx="28">
                  <c:v>1.2E-2</c:v>
                </c:pt>
              </c:numCache>
            </c:numRef>
          </c:val>
          <c:smooth val="0"/>
          <c:extLst>
            <c:ext xmlns:c16="http://schemas.microsoft.com/office/drawing/2014/chart" uri="{C3380CC4-5D6E-409C-BE32-E72D297353CC}">
              <c16:uniqueId val="{00000001-84DB-412B-A9C1-C1DBF9CA0EED}"/>
            </c:ext>
          </c:extLst>
        </c:ser>
        <c:dLbls>
          <c:showLegendKey val="0"/>
          <c:showVal val="0"/>
          <c:showCatName val="0"/>
          <c:showSerName val="0"/>
          <c:showPercent val="0"/>
          <c:showBubbleSize val="0"/>
        </c:dLbls>
        <c:smooth val="0"/>
        <c:axId val="1131093032"/>
        <c:axId val="1131089792"/>
      </c:lineChart>
      <c:dateAx>
        <c:axId val="11310930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89792"/>
        <c:crosses val="autoZero"/>
        <c:auto val="1"/>
        <c:lblOffset val="100"/>
        <c:baseTimeUnit val="months"/>
        <c:majorUnit val="3"/>
        <c:majorTimeUnit val="months"/>
      </c:dateAx>
      <c:valAx>
        <c:axId val="1131089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93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71354069485390159"/>
        </c:manualLayout>
      </c:layout>
      <c:lineChart>
        <c:grouping val="standard"/>
        <c:varyColors val="0"/>
        <c:ser>
          <c:idx val="2"/>
          <c:order val="0"/>
          <c:tx>
            <c:strRef>
              <c:f>PROJ!$A$17</c:f>
              <c:strCache>
                <c:ptCount val="1"/>
                <c:pt idx="0">
                  <c:v>  EBITDA Margin</c:v>
                </c:pt>
              </c:strCache>
            </c:strRef>
          </c:tx>
          <c:spPr>
            <a:ln w="28575" cap="rnd">
              <a:solidFill>
                <a:schemeClr val="accent3"/>
              </a:solidFill>
              <a:round/>
            </a:ln>
            <a:effectLst/>
          </c:spPr>
          <c:marker>
            <c:symbol val="none"/>
          </c:marker>
          <c:val>
            <c:numRef>
              <c:f>PROJ!$AW$17:$BX$17</c:f>
              <c:numCache>
                <c:formatCode>0.0%</c:formatCode>
                <c:ptCount val="5"/>
                <c:pt idx="0">
                  <c:v>0.26744862390222279</c:v>
                </c:pt>
                <c:pt idx="1">
                  <c:v>0.2193246068795677</c:v>
                </c:pt>
                <c:pt idx="2">
                  <c:v>0.21366774056997034</c:v>
                </c:pt>
                <c:pt idx="3">
                  <c:v>0.26106861954892507</c:v>
                </c:pt>
                <c:pt idx="4">
                  <c:v>0.27189274128189</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51D6-4900-B2FC-4BCD2F2AE4AE}"/>
            </c:ext>
          </c:extLst>
        </c:ser>
        <c:ser>
          <c:idx val="0"/>
          <c:order val="1"/>
          <c:tx>
            <c:strRef>
              <c:f>PROJ!$A$28</c:f>
              <c:strCache>
                <c:ptCount val="1"/>
                <c:pt idx="0">
                  <c:v>  NI Margin</c:v>
                </c:pt>
              </c:strCache>
            </c:strRef>
          </c:tx>
          <c:spPr>
            <a:ln w="28575" cap="rnd">
              <a:solidFill>
                <a:schemeClr val="accent1"/>
              </a:solidFill>
              <a:round/>
            </a:ln>
            <a:effectLst/>
          </c:spPr>
          <c:marker>
            <c:symbol val="none"/>
          </c:marker>
          <c:val>
            <c:numRef>
              <c:f>PROJ!$AW$28:$BX$28</c:f>
              <c:numCache>
                <c:formatCode>0.0%</c:formatCode>
                <c:ptCount val="5"/>
                <c:pt idx="0">
                  <c:v>0.13330154372657205</c:v>
                </c:pt>
                <c:pt idx="1">
                  <c:v>9.5830416380035782E-2</c:v>
                </c:pt>
                <c:pt idx="2">
                  <c:v>9.6646008894429716E-2</c:v>
                </c:pt>
                <c:pt idx="3">
                  <c:v>0.13155566616005462</c:v>
                </c:pt>
                <c:pt idx="4">
                  <c:v>0.14294221843724905</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1-51D6-4900-B2FC-4BCD2F2AE4AE}"/>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1"/>
      </c:catAx>
      <c:valAx>
        <c:axId val="10403350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41810203939486507"/>
          <c:y val="0.60061246471549556"/>
          <c:w val="0.23445213254781744"/>
          <c:h val="0.20606332740246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70761652423778776"/>
        </c:manualLayout>
      </c:layout>
      <c:lineChart>
        <c:grouping val="standard"/>
        <c:varyColors val="0"/>
        <c:ser>
          <c:idx val="2"/>
          <c:order val="0"/>
          <c:tx>
            <c:strRef>
              <c:f>PROJ!$A$25</c:f>
              <c:strCache>
                <c:ptCount val="1"/>
                <c:pt idx="0">
                  <c:v>   Effective Tax Rate</c:v>
                </c:pt>
              </c:strCache>
            </c:strRef>
          </c:tx>
          <c:spPr>
            <a:ln w="28575" cap="rnd">
              <a:solidFill>
                <a:schemeClr val="accent3"/>
              </a:solidFill>
              <a:round/>
            </a:ln>
            <a:effectLst/>
          </c:spPr>
          <c:marker>
            <c:symbol val="none"/>
          </c:marker>
          <c:val>
            <c:numRef>
              <c:f>PROJ!$AW$25:$BW$25</c:f>
              <c:numCache>
                <c:formatCode>0.0%</c:formatCode>
                <c:ptCount val="4"/>
                <c:pt idx="0">
                  <c:v>0.31467326367123699</c:v>
                </c:pt>
                <c:pt idx="1">
                  <c:v>0.32528295150072889</c:v>
                </c:pt>
                <c:pt idx="2">
                  <c:v>0.31921700734072828</c:v>
                </c:pt>
                <c:pt idx="3">
                  <c:v>0.32493403145312533</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F22B-4DBD-ACD5-A0621E45A120}"/>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1"/>
      </c:catAx>
      <c:valAx>
        <c:axId val="1040335080"/>
        <c:scaling>
          <c:orientation val="minMax"/>
          <c:max val="0.45"/>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41810203939486507"/>
          <c:y val="0.60061246471549556"/>
          <c:w val="0.24671169057565639"/>
          <c:h val="0.23879884118258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2825896762904"/>
          <c:y val="5.0925925925925923E-2"/>
          <c:w val="0.87549496937882765"/>
          <c:h val="0.71354069485390159"/>
        </c:manualLayout>
      </c:layout>
      <c:lineChart>
        <c:grouping val="standard"/>
        <c:varyColors val="0"/>
        <c:ser>
          <c:idx val="2"/>
          <c:order val="0"/>
          <c:tx>
            <c:strRef>
              <c:f>PROJ!$A$13</c:f>
              <c:strCache>
                <c:ptCount val="1"/>
                <c:pt idx="0">
                  <c:v> As % Revenues</c:v>
                </c:pt>
              </c:strCache>
            </c:strRef>
          </c:tx>
          <c:spPr>
            <a:ln w="28575" cap="rnd">
              <a:solidFill>
                <a:schemeClr val="accent3"/>
              </a:solidFill>
              <a:round/>
            </a:ln>
            <a:effectLst/>
          </c:spPr>
          <c:marker>
            <c:symbol val="none"/>
          </c:marker>
          <c:val>
            <c:numRef>
              <c:f>PROJ!$AW$13:$BW$13</c:f>
              <c:numCache>
                <c:formatCode>0.0%</c:formatCode>
                <c:ptCount val="4"/>
                <c:pt idx="0">
                  <c:v>0.16069402121645776</c:v>
                </c:pt>
                <c:pt idx="1">
                  <c:v>0.15888793617208255</c:v>
                </c:pt>
                <c:pt idx="2">
                  <c:v>0.15371859878770441</c:v>
                </c:pt>
                <c:pt idx="3">
                  <c:v>0.1647867466095575</c:v>
                </c:pt>
              </c:numCache>
            </c:numRef>
          </c:val>
          <c:smooth val="0"/>
          <c:extLst>
            <c:ext xmlns:c15="http://schemas.microsoft.com/office/drawing/2012/chart" uri="{02D57815-91ED-43cb-92C2-25804820EDAC}">
              <c15:filteredCategoryTitle>
                <c15:cat>
                  <c:strRef>
                    <c:extLst>
                      <c:ext uri="{02D57815-91ED-43cb-92C2-25804820EDAC}">
                        <c15:formulaRef>
                          <c15:sqref>[21]Model!#REF!</c15:sqref>
                        </c15:formulaRef>
                      </c:ext>
                    </c:extLst>
                    <c:strCache>
                      <c:ptCount val="1"/>
                      <c:pt idx="0">
                        <c:v>#REF!</c:v>
                      </c:pt>
                    </c:strCache>
                  </c:strRef>
                </c15:cat>
              </c15:filteredCategoryTitle>
            </c:ext>
            <c:ext xmlns:c16="http://schemas.microsoft.com/office/drawing/2014/chart" uri="{C3380CC4-5D6E-409C-BE32-E72D297353CC}">
              <c16:uniqueId val="{00000000-BA92-4AC4-ACEF-8A24543F32BE}"/>
            </c:ext>
          </c:extLst>
        </c:ser>
        <c:dLbls>
          <c:showLegendKey val="0"/>
          <c:showVal val="0"/>
          <c:showCatName val="0"/>
          <c:showSerName val="0"/>
          <c:showPercent val="0"/>
          <c:showBubbleSize val="0"/>
        </c:dLbls>
        <c:smooth val="0"/>
        <c:axId val="1040334752"/>
        <c:axId val="1040335080"/>
      </c:lineChart>
      <c:catAx>
        <c:axId val="1040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5080"/>
        <c:crosses val="autoZero"/>
        <c:auto val="1"/>
        <c:lblAlgn val="ctr"/>
        <c:lblOffset val="100"/>
        <c:noMultiLvlLbl val="1"/>
      </c:catAx>
      <c:valAx>
        <c:axId val="1040335080"/>
        <c:scaling>
          <c:orientation val="minMax"/>
          <c:max val="0.2"/>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34752"/>
        <c:crosses val="autoZero"/>
        <c:crossBetween val="between"/>
      </c:valAx>
      <c:spPr>
        <a:noFill/>
        <a:ln>
          <a:noFill/>
        </a:ln>
        <a:effectLst/>
      </c:spPr>
    </c:plotArea>
    <c:legend>
      <c:legendPos val="r"/>
      <c:layout>
        <c:manualLayout>
          <c:xMode val="edge"/>
          <c:yMode val="edge"/>
          <c:x val="0.41810203939486507"/>
          <c:y val="0.60061246471549556"/>
          <c:w val="0.24671169057565639"/>
          <c:h val="0.23879884118258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Trimestral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ipc</c:v>
          </c:tx>
          <c:spPr>
            <a:ln w="28575" cap="rnd">
              <a:solidFill>
                <a:schemeClr val="accent1"/>
              </a:solidFill>
              <a:round/>
            </a:ln>
            <a:effectLst/>
          </c:spPr>
          <c:marker>
            <c:symbol val="none"/>
          </c:marker>
          <c:cat>
            <c:numRef>
              <c:f>IPCN!$DH$2:$EK$2</c:f>
              <c:numCache>
                <c:formatCode>mmm\-yy</c:formatCode>
                <c:ptCount val="30"/>
                <c:pt idx="0">
                  <c:v>42735</c:v>
                </c:pt>
                <c:pt idx="1">
                  <c:v>42825</c:v>
                </c:pt>
                <c:pt idx="2">
                  <c:v>42916</c:v>
                </c:pt>
                <c:pt idx="3">
                  <c:v>43008</c:v>
                </c:pt>
                <c:pt idx="4">
                  <c:v>43100</c:v>
                </c:pt>
                <c:pt idx="5">
                  <c:v>43190</c:v>
                </c:pt>
                <c:pt idx="6">
                  <c:v>43281</c:v>
                </c:pt>
                <c:pt idx="7">
                  <c:v>43373</c:v>
                </c:pt>
                <c:pt idx="8">
                  <c:v>43465</c:v>
                </c:pt>
                <c:pt idx="9">
                  <c:v>43555</c:v>
                </c:pt>
                <c:pt idx="10">
                  <c:v>43646</c:v>
                </c:pt>
                <c:pt idx="11">
                  <c:v>43738</c:v>
                </c:pt>
                <c:pt idx="12">
                  <c:v>43830</c:v>
                </c:pt>
                <c:pt idx="13">
                  <c:v>43921</c:v>
                </c:pt>
                <c:pt idx="14">
                  <c:v>44012</c:v>
                </c:pt>
                <c:pt idx="15">
                  <c:v>44104</c:v>
                </c:pt>
                <c:pt idx="16">
                  <c:v>44196</c:v>
                </c:pt>
                <c:pt idx="17">
                  <c:v>44286</c:v>
                </c:pt>
                <c:pt idx="18">
                  <c:v>44377</c:v>
                </c:pt>
                <c:pt idx="19">
                  <c:v>44469</c:v>
                </c:pt>
                <c:pt idx="20">
                  <c:v>44561</c:v>
                </c:pt>
                <c:pt idx="21">
                  <c:v>44651</c:v>
                </c:pt>
                <c:pt idx="22">
                  <c:v>44742</c:v>
                </c:pt>
                <c:pt idx="23">
                  <c:v>44834</c:v>
                </c:pt>
                <c:pt idx="24">
                  <c:v>44926</c:v>
                </c:pt>
                <c:pt idx="25">
                  <c:v>45016</c:v>
                </c:pt>
                <c:pt idx="26">
                  <c:v>45107</c:v>
                </c:pt>
                <c:pt idx="27">
                  <c:v>45199</c:v>
                </c:pt>
                <c:pt idx="28">
                  <c:v>45291</c:v>
                </c:pt>
                <c:pt idx="29">
                  <c:v>45382</c:v>
                </c:pt>
              </c:numCache>
            </c:numRef>
          </c:cat>
          <c:val>
            <c:numRef>
              <c:f>IPCN!$DH$21:$EK$21</c:f>
              <c:numCache>
                <c:formatCode>General</c:formatCode>
                <c:ptCount val="30"/>
                <c:pt idx="0">
                  <c:v>100</c:v>
                </c:pt>
                <c:pt idx="1">
                  <c:v>105.35256222792262</c:v>
                </c:pt>
                <c:pt idx="2">
                  <c:v>106.31365589860478</c:v>
                </c:pt>
                <c:pt idx="3">
                  <c:v>106.34784705305252</c:v>
                </c:pt>
                <c:pt idx="4">
                  <c:v>106.77304819817974</c:v>
                </c:pt>
                <c:pt idx="5">
                  <c:v>110.65749784844721</c:v>
                </c:pt>
                <c:pt idx="6">
                  <c:v>111.25390030361403</c:v>
                </c:pt>
                <c:pt idx="7">
                  <c:v>111.68605555509363</c:v>
                </c:pt>
                <c:pt idx="8">
                  <c:v>111.9307696200465</c:v>
                </c:pt>
                <c:pt idx="9">
                  <c:v>115.08842098578728</c:v>
                </c:pt>
                <c:pt idx="10">
                  <c:v>115.64525519549885</c:v>
                </c:pt>
                <c:pt idx="11">
                  <c:v>115.03385937461023</c:v>
                </c:pt>
                <c:pt idx="12">
                  <c:v>115.09681759784515</c:v>
                </c:pt>
                <c:pt idx="13">
                  <c:v>118.82771581119815</c:v>
                </c:pt>
                <c:pt idx="14">
                  <c:v>119.50088069906903</c:v>
                </c:pt>
                <c:pt idx="15">
                  <c:v>119.65106186552704</c:v>
                </c:pt>
                <c:pt idx="16">
                  <c:v>118.72245318532424</c:v>
                </c:pt>
                <c:pt idx="17">
                  <c:v>124.37326131967485</c:v>
                </c:pt>
                <c:pt idx="18">
                  <c:v>126.52586619120116</c:v>
                </c:pt>
                <c:pt idx="19">
                  <c:v>126.83030265137968</c:v>
                </c:pt>
                <c:pt idx="20">
                  <c:v>127.45461776925274</c:v>
                </c:pt>
                <c:pt idx="21">
                  <c:v>133.6436427503113</c:v>
                </c:pt>
                <c:pt idx="22">
                  <c:v>136.63065010386799</c:v>
                </c:pt>
                <c:pt idx="23">
                  <c:v>137.86422135570385</c:v>
                </c:pt>
                <c:pt idx="24">
                  <c:v>137.41778178998487</c:v>
                </c:pt>
                <c:pt idx="25">
                  <c:v>142.79724073161159</c:v>
                </c:pt>
                <c:pt idx="26">
                  <c:v>143.53808603796443</c:v>
                </c:pt>
                <c:pt idx="27">
                  <c:v>144.00536627950473</c:v>
                </c:pt>
                <c:pt idx="28">
                  <c:v>143.82267294616983</c:v>
                </c:pt>
                <c:pt idx="29">
                  <c:v>149.11022033572587</c:v>
                </c:pt>
              </c:numCache>
            </c:numRef>
          </c:val>
          <c:smooth val="0"/>
          <c:extLst>
            <c:ext xmlns:c16="http://schemas.microsoft.com/office/drawing/2014/chart" uri="{C3380CC4-5D6E-409C-BE32-E72D297353CC}">
              <c16:uniqueId val="{00000000-1DCF-4CAB-83CB-0507F7E1A821}"/>
            </c:ext>
          </c:extLst>
        </c:ser>
        <c:ser>
          <c:idx val="1"/>
          <c:order val="1"/>
          <c:tx>
            <c:v>kymber pricing</c:v>
          </c:tx>
          <c:spPr>
            <a:ln w="28575" cap="rnd">
              <a:solidFill>
                <a:schemeClr val="accent2"/>
              </a:solidFill>
              <a:round/>
            </a:ln>
            <a:effectLst/>
          </c:spPr>
          <c:marker>
            <c:symbol val="none"/>
          </c:marker>
          <c:cat>
            <c:numRef>
              <c:f>IPCN!$DH$2:$EK$2</c:f>
              <c:numCache>
                <c:formatCode>mmm\-yy</c:formatCode>
                <c:ptCount val="30"/>
                <c:pt idx="0">
                  <c:v>42735</c:v>
                </c:pt>
                <c:pt idx="1">
                  <c:v>42825</c:v>
                </c:pt>
                <c:pt idx="2">
                  <c:v>42916</c:v>
                </c:pt>
                <c:pt idx="3">
                  <c:v>43008</c:v>
                </c:pt>
                <c:pt idx="4">
                  <c:v>43100</c:v>
                </c:pt>
                <c:pt idx="5">
                  <c:v>43190</c:v>
                </c:pt>
                <c:pt idx="6">
                  <c:v>43281</c:v>
                </c:pt>
                <c:pt idx="7">
                  <c:v>43373</c:v>
                </c:pt>
                <c:pt idx="8">
                  <c:v>43465</c:v>
                </c:pt>
                <c:pt idx="9">
                  <c:v>43555</c:v>
                </c:pt>
                <c:pt idx="10">
                  <c:v>43646</c:v>
                </c:pt>
                <c:pt idx="11">
                  <c:v>43738</c:v>
                </c:pt>
                <c:pt idx="12">
                  <c:v>43830</c:v>
                </c:pt>
                <c:pt idx="13">
                  <c:v>43921</c:v>
                </c:pt>
                <c:pt idx="14">
                  <c:v>44012</c:v>
                </c:pt>
                <c:pt idx="15">
                  <c:v>44104</c:v>
                </c:pt>
                <c:pt idx="16">
                  <c:v>44196</c:v>
                </c:pt>
                <c:pt idx="17">
                  <c:v>44286</c:v>
                </c:pt>
                <c:pt idx="18">
                  <c:v>44377</c:v>
                </c:pt>
                <c:pt idx="19">
                  <c:v>44469</c:v>
                </c:pt>
                <c:pt idx="20">
                  <c:v>44561</c:v>
                </c:pt>
                <c:pt idx="21">
                  <c:v>44651</c:v>
                </c:pt>
                <c:pt idx="22">
                  <c:v>44742</c:v>
                </c:pt>
                <c:pt idx="23">
                  <c:v>44834</c:v>
                </c:pt>
                <c:pt idx="24">
                  <c:v>44926</c:v>
                </c:pt>
                <c:pt idx="25">
                  <c:v>45016</c:v>
                </c:pt>
                <c:pt idx="26">
                  <c:v>45107</c:v>
                </c:pt>
                <c:pt idx="27">
                  <c:v>45199</c:v>
                </c:pt>
                <c:pt idx="28">
                  <c:v>45291</c:v>
                </c:pt>
                <c:pt idx="29">
                  <c:v>45382</c:v>
                </c:pt>
              </c:numCache>
            </c:numRef>
          </c:cat>
          <c:val>
            <c:numRef>
              <c:f>IPCN!$DH$27:$EK$27</c:f>
              <c:numCache>
                <c:formatCode>General</c:formatCode>
                <c:ptCount val="30"/>
                <c:pt idx="0">
                  <c:v>100</c:v>
                </c:pt>
                <c:pt idx="1">
                  <c:v>106.89999999999999</c:v>
                </c:pt>
                <c:pt idx="2">
                  <c:v>107</c:v>
                </c:pt>
                <c:pt idx="3">
                  <c:v>103.89999999999999</c:v>
                </c:pt>
                <c:pt idx="4">
                  <c:v>103.1</c:v>
                </c:pt>
                <c:pt idx="5">
                  <c:v>112.4588</c:v>
                </c:pt>
                <c:pt idx="6">
                  <c:v>114.27600000000001</c:v>
                </c:pt>
                <c:pt idx="7">
                  <c:v>112.93929999999999</c:v>
                </c:pt>
                <c:pt idx="8">
                  <c:v>112.379</c:v>
                </c:pt>
                <c:pt idx="9">
                  <c:v>121.455504</c:v>
                </c:pt>
                <c:pt idx="10">
                  <c:v>123.41808000000002</c:v>
                </c:pt>
                <c:pt idx="11">
                  <c:v>119.71565799999999</c:v>
                </c:pt>
                <c:pt idx="12">
                  <c:v>112.379</c:v>
                </c:pt>
                <c:pt idx="13">
                  <c:v>120.24094896</c:v>
                </c:pt>
                <c:pt idx="14">
                  <c:v>129.58898400000001</c:v>
                </c:pt>
                <c:pt idx="15">
                  <c:v>119.71565799999999</c:v>
                </c:pt>
                <c:pt idx="16">
                  <c:v>116.87416</c:v>
                </c:pt>
                <c:pt idx="17">
                  <c:v>127.4554058976</c:v>
                </c:pt>
                <c:pt idx="18">
                  <c:v>130.88487384000001</c:v>
                </c:pt>
                <c:pt idx="19">
                  <c:v>122.10997115999999</c:v>
                </c:pt>
                <c:pt idx="20">
                  <c:v>122.71786800000001</c:v>
                </c:pt>
                <c:pt idx="21">
                  <c:v>136.377284310432</c:v>
                </c:pt>
                <c:pt idx="22">
                  <c:v>147.89990743920001</c:v>
                </c:pt>
                <c:pt idx="23">
                  <c:v>144.70031582459998</c:v>
                </c:pt>
                <c:pt idx="24">
                  <c:v>142.35272688000001</c:v>
                </c:pt>
                <c:pt idx="25">
                  <c:v>151.37878558457953</c:v>
                </c:pt>
                <c:pt idx="26">
                  <c:v>158.4008008673832</c:v>
                </c:pt>
                <c:pt idx="27">
                  <c:v>146.14731898284597</c:v>
                </c:pt>
                <c:pt idx="28">
                  <c:v>151.32094867344</c:v>
                </c:pt>
                <c:pt idx="29">
                  <c:v>153.19533101159448</c:v>
                </c:pt>
              </c:numCache>
            </c:numRef>
          </c:val>
          <c:smooth val="0"/>
          <c:extLst>
            <c:ext xmlns:c16="http://schemas.microsoft.com/office/drawing/2014/chart" uri="{C3380CC4-5D6E-409C-BE32-E72D297353CC}">
              <c16:uniqueId val="{00000001-1DCF-4CAB-83CB-0507F7E1A821}"/>
            </c:ext>
          </c:extLst>
        </c:ser>
        <c:dLbls>
          <c:showLegendKey val="0"/>
          <c:showVal val="0"/>
          <c:showCatName val="0"/>
          <c:showSerName val="0"/>
          <c:showPercent val="0"/>
          <c:showBubbleSize val="0"/>
        </c:dLbls>
        <c:smooth val="0"/>
        <c:axId val="781580352"/>
        <c:axId val="781576032"/>
      </c:lineChart>
      <c:dateAx>
        <c:axId val="78158035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76032"/>
        <c:crosses val="autoZero"/>
        <c:auto val="1"/>
        <c:lblOffset val="100"/>
        <c:baseTimeUnit val="months"/>
        <c:majorUnit val="3"/>
        <c:majorTimeUnit val="months"/>
      </c:dateAx>
      <c:valAx>
        <c:axId val="781576032"/>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80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01921981974475"/>
          <c:y val="0.15834296724470137"/>
          <c:w val="0.85390548403671751"/>
          <c:h val="0.629428185638645"/>
        </c:manualLayout>
      </c:layout>
      <c:lineChart>
        <c:grouping val="standard"/>
        <c:varyColors val="0"/>
        <c:ser>
          <c:idx val="0"/>
          <c:order val="0"/>
          <c:tx>
            <c:v>ipc</c:v>
          </c:tx>
          <c:spPr>
            <a:ln w="28575" cap="rnd">
              <a:solidFill>
                <a:schemeClr val="accent1"/>
              </a:solidFill>
              <a:round/>
            </a:ln>
            <a:effectLst/>
          </c:spPr>
          <c:marker>
            <c:symbol val="none"/>
          </c:marker>
          <c:cat>
            <c:numRef>
              <c:f>FAT!$BQ$8:$CD$8</c:f>
              <c:numCache>
                <c:formatCode>mmm\-yy</c:formatCode>
                <c:ptCount val="14"/>
                <c:pt idx="0">
                  <c:v>43100</c:v>
                </c:pt>
                <c:pt idx="1">
                  <c:v>43465</c:v>
                </c:pt>
                <c:pt idx="2">
                  <c:v>43830</c:v>
                </c:pt>
                <c:pt idx="3">
                  <c:v>44196</c:v>
                </c:pt>
                <c:pt idx="4">
                  <c:v>44561</c:v>
                </c:pt>
                <c:pt idx="5">
                  <c:v>44926</c:v>
                </c:pt>
                <c:pt idx="6">
                  <c:v>45291</c:v>
                </c:pt>
                <c:pt idx="7">
                  <c:v>45657</c:v>
                </c:pt>
                <c:pt idx="8">
                  <c:v>46022</c:v>
                </c:pt>
                <c:pt idx="9">
                  <c:v>46387</c:v>
                </c:pt>
                <c:pt idx="10">
                  <c:v>46752</c:v>
                </c:pt>
                <c:pt idx="11">
                  <c:v>47118</c:v>
                </c:pt>
                <c:pt idx="12">
                  <c:v>47483</c:v>
                </c:pt>
                <c:pt idx="13">
                  <c:v>47848</c:v>
                </c:pt>
              </c:numCache>
            </c:numRef>
          </c:cat>
          <c:val>
            <c:numRef>
              <c:f>FAT!$BQ$6:$BX$6</c:f>
              <c:numCache>
                <c:formatCode>0.0%</c:formatCode>
                <c:ptCount val="8"/>
                <c:pt idx="0">
                  <c:v>6.7731070524451598E-2</c:v>
                </c:pt>
                <c:pt idx="1">
                  <c:v>4.8305280499506775E-2</c:v>
                </c:pt>
                <c:pt idx="2">
                  <c:v>2.8285769753445988E-2</c:v>
                </c:pt>
                <c:pt idx="3">
                  <c:v>3.1500745747352177E-2</c:v>
                </c:pt>
                <c:pt idx="4">
                  <c:v>7.3551079426380284E-2</c:v>
                </c:pt>
                <c:pt idx="5">
                  <c:v>7.8170286766460872E-2</c:v>
                </c:pt>
                <c:pt idx="6">
                  <c:v>4.6608896408861566E-2</c:v>
                </c:pt>
                <c:pt idx="7">
                  <c:v>4.2123393743437321E-2</c:v>
                </c:pt>
              </c:numCache>
            </c:numRef>
          </c:val>
          <c:smooth val="0"/>
          <c:extLst>
            <c:ext xmlns:c16="http://schemas.microsoft.com/office/drawing/2014/chart" uri="{C3380CC4-5D6E-409C-BE32-E72D297353CC}">
              <c16:uniqueId val="{00000000-E3A9-4857-84A0-E28D09E194F8}"/>
            </c:ext>
          </c:extLst>
        </c:ser>
        <c:ser>
          <c:idx val="1"/>
          <c:order val="1"/>
          <c:tx>
            <c:v>kymber pricing</c:v>
          </c:tx>
          <c:spPr>
            <a:ln w="28575" cap="rnd">
              <a:solidFill>
                <a:schemeClr val="accent2"/>
              </a:solidFill>
              <a:round/>
            </a:ln>
            <a:effectLst/>
          </c:spPr>
          <c:marker>
            <c:symbol val="none"/>
          </c:marker>
          <c:cat>
            <c:numRef>
              <c:f>FAT!$BQ$8:$CD$8</c:f>
              <c:numCache>
                <c:formatCode>mmm\-yy</c:formatCode>
                <c:ptCount val="14"/>
                <c:pt idx="0">
                  <c:v>43100</c:v>
                </c:pt>
                <c:pt idx="1">
                  <c:v>43465</c:v>
                </c:pt>
                <c:pt idx="2">
                  <c:v>43830</c:v>
                </c:pt>
                <c:pt idx="3">
                  <c:v>44196</c:v>
                </c:pt>
                <c:pt idx="4">
                  <c:v>44561</c:v>
                </c:pt>
                <c:pt idx="5">
                  <c:v>44926</c:v>
                </c:pt>
                <c:pt idx="6">
                  <c:v>45291</c:v>
                </c:pt>
                <c:pt idx="7">
                  <c:v>45657</c:v>
                </c:pt>
                <c:pt idx="8">
                  <c:v>46022</c:v>
                </c:pt>
                <c:pt idx="9">
                  <c:v>46387</c:v>
                </c:pt>
                <c:pt idx="10">
                  <c:v>46752</c:v>
                </c:pt>
                <c:pt idx="11">
                  <c:v>47118</c:v>
                </c:pt>
                <c:pt idx="12">
                  <c:v>47483</c:v>
                </c:pt>
                <c:pt idx="13">
                  <c:v>47848</c:v>
                </c:pt>
              </c:numCache>
            </c:numRef>
          </c:cat>
          <c:val>
            <c:numRef>
              <c:f>FAT!$BQ$17:$BX$17</c:f>
              <c:numCache>
                <c:formatCode>0.0%</c:formatCode>
                <c:ptCount val="8"/>
                <c:pt idx="0">
                  <c:v>5.2250000000000005E-2</c:v>
                </c:pt>
                <c:pt idx="1">
                  <c:v>6.5599999999999992E-2</c:v>
                </c:pt>
                <c:pt idx="2">
                  <c:v>6.2E-2</c:v>
                </c:pt>
                <c:pt idx="3">
                  <c:v>1.6E-2</c:v>
                </c:pt>
                <c:pt idx="4">
                  <c:v>3.5999999999999997E-2</c:v>
                </c:pt>
                <c:pt idx="5">
                  <c:v>0.11899999999999999</c:v>
                </c:pt>
                <c:pt idx="6">
                  <c:v>6.3500000000000001E-2</c:v>
                </c:pt>
                <c:pt idx="7">
                  <c:v>2.776916274356141E-2</c:v>
                </c:pt>
              </c:numCache>
            </c:numRef>
          </c:val>
          <c:smooth val="0"/>
          <c:extLst>
            <c:ext xmlns:c16="http://schemas.microsoft.com/office/drawing/2014/chart" uri="{C3380CC4-5D6E-409C-BE32-E72D297353CC}">
              <c16:uniqueId val="{00000001-E3A9-4857-84A0-E28D09E194F8}"/>
            </c:ext>
          </c:extLst>
        </c:ser>
        <c:dLbls>
          <c:showLegendKey val="0"/>
          <c:showVal val="0"/>
          <c:showCatName val="0"/>
          <c:showSerName val="0"/>
          <c:showPercent val="0"/>
          <c:showBubbleSize val="0"/>
        </c:dLbls>
        <c:smooth val="0"/>
        <c:axId val="1352074552"/>
        <c:axId val="1352073832"/>
      </c:lineChart>
      <c:dateAx>
        <c:axId val="1352074552"/>
        <c:scaling>
          <c:orientation val="minMax"/>
          <c:max val="45657"/>
          <c:min val="43100"/>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073832"/>
        <c:crossesAt val="0"/>
        <c:auto val="0"/>
        <c:lblOffset val="100"/>
        <c:baseTimeUnit val="years"/>
        <c:majorUnit val="1"/>
        <c:majorTimeUnit val="years"/>
      </c:dateAx>
      <c:valAx>
        <c:axId val="13520738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074552"/>
        <c:crossesAt val="43100"/>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ipc</c:v>
          </c:tx>
          <c:spPr>
            <a:ln w="28575" cap="rnd">
              <a:solidFill>
                <a:schemeClr val="accent1"/>
              </a:solidFill>
              <a:round/>
            </a:ln>
            <a:effectLst/>
          </c:spPr>
          <c:marker>
            <c:symbol val="none"/>
          </c:marker>
          <c:cat>
            <c:numRef>
              <c:f>IPCN!$M$2:$CX$2</c:f>
              <c:numCache>
                <c:formatCode>mmm\-yy</c:formatCode>
                <c:ptCount val="90"/>
                <c:pt idx="0">
                  <c:v>42735</c:v>
                </c:pt>
                <c:pt idx="1">
                  <c:v>42766</c:v>
                </c:pt>
                <c:pt idx="2">
                  <c:v>42794</c:v>
                </c:pt>
                <c:pt idx="3">
                  <c:v>42825</c:v>
                </c:pt>
                <c:pt idx="4">
                  <c:v>42855</c:v>
                </c:pt>
                <c:pt idx="5">
                  <c:v>42886</c:v>
                </c:pt>
                <c:pt idx="6">
                  <c:v>42916</c:v>
                </c:pt>
                <c:pt idx="7">
                  <c:v>42947</c:v>
                </c:pt>
                <c:pt idx="8">
                  <c:v>42978</c:v>
                </c:pt>
                <c:pt idx="9">
                  <c:v>43008</c:v>
                </c:pt>
                <c:pt idx="10">
                  <c:v>43039</c:v>
                </c:pt>
                <c:pt idx="11">
                  <c:v>43069</c:v>
                </c:pt>
                <c:pt idx="12">
                  <c:v>43100</c:v>
                </c:pt>
                <c:pt idx="13">
                  <c:v>43131</c:v>
                </c:pt>
                <c:pt idx="14">
                  <c:v>43159</c:v>
                </c:pt>
                <c:pt idx="15">
                  <c:v>43190</c:v>
                </c:pt>
                <c:pt idx="16">
                  <c:v>43220</c:v>
                </c:pt>
                <c:pt idx="17">
                  <c:v>43251</c:v>
                </c:pt>
                <c:pt idx="18">
                  <c:v>43281</c:v>
                </c:pt>
                <c:pt idx="19">
                  <c:v>43312</c:v>
                </c:pt>
                <c:pt idx="20">
                  <c:v>43343</c:v>
                </c:pt>
                <c:pt idx="21">
                  <c:v>43373</c:v>
                </c:pt>
                <c:pt idx="22">
                  <c:v>43404</c:v>
                </c:pt>
                <c:pt idx="23">
                  <c:v>43434</c:v>
                </c:pt>
                <c:pt idx="24">
                  <c:v>43465</c:v>
                </c:pt>
                <c:pt idx="25">
                  <c:v>43496</c:v>
                </c:pt>
                <c:pt idx="26">
                  <c:v>43524</c:v>
                </c:pt>
                <c:pt idx="27">
                  <c:v>43555</c:v>
                </c:pt>
                <c:pt idx="28">
                  <c:v>43585</c:v>
                </c:pt>
                <c:pt idx="29">
                  <c:v>43616</c:v>
                </c:pt>
                <c:pt idx="30">
                  <c:v>43646</c:v>
                </c:pt>
                <c:pt idx="31">
                  <c:v>43677</c:v>
                </c:pt>
                <c:pt idx="32">
                  <c:v>43708</c:v>
                </c:pt>
                <c:pt idx="33">
                  <c:v>43738</c:v>
                </c:pt>
                <c:pt idx="34">
                  <c:v>43769</c:v>
                </c:pt>
                <c:pt idx="35">
                  <c:v>43799</c:v>
                </c:pt>
                <c:pt idx="36">
                  <c:v>43830</c:v>
                </c:pt>
                <c:pt idx="37">
                  <c:v>43861</c:v>
                </c:pt>
                <c:pt idx="38">
                  <c:v>43890</c:v>
                </c:pt>
                <c:pt idx="39">
                  <c:v>43921</c:v>
                </c:pt>
                <c:pt idx="40">
                  <c:v>43951</c:v>
                </c:pt>
                <c:pt idx="41">
                  <c:v>43982</c:v>
                </c:pt>
                <c:pt idx="42">
                  <c:v>44012</c:v>
                </c:pt>
                <c:pt idx="43">
                  <c:v>44043</c:v>
                </c:pt>
                <c:pt idx="44">
                  <c:v>44074</c:v>
                </c:pt>
                <c:pt idx="45">
                  <c:v>44104</c:v>
                </c:pt>
                <c:pt idx="46">
                  <c:v>44135</c:v>
                </c:pt>
                <c:pt idx="47">
                  <c:v>44165</c:v>
                </c:pt>
                <c:pt idx="48">
                  <c:v>44196</c:v>
                </c:pt>
                <c:pt idx="49">
                  <c:v>44227</c:v>
                </c:pt>
                <c:pt idx="50">
                  <c:v>44255</c:v>
                </c:pt>
                <c:pt idx="51">
                  <c:v>44286</c:v>
                </c:pt>
                <c:pt idx="52">
                  <c:v>44316</c:v>
                </c:pt>
                <c:pt idx="53">
                  <c:v>44347</c:v>
                </c:pt>
                <c:pt idx="54">
                  <c:v>44377</c:v>
                </c:pt>
                <c:pt idx="55">
                  <c:v>44408</c:v>
                </c:pt>
                <c:pt idx="56">
                  <c:v>44439</c:v>
                </c:pt>
                <c:pt idx="57">
                  <c:v>44469</c:v>
                </c:pt>
                <c:pt idx="58">
                  <c:v>44500</c:v>
                </c:pt>
                <c:pt idx="59">
                  <c:v>44530</c:v>
                </c:pt>
                <c:pt idx="60">
                  <c:v>44561</c:v>
                </c:pt>
                <c:pt idx="61">
                  <c:v>44592</c:v>
                </c:pt>
                <c:pt idx="62">
                  <c:v>44620</c:v>
                </c:pt>
                <c:pt idx="63">
                  <c:v>44651</c:v>
                </c:pt>
                <c:pt idx="64">
                  <c:v>44681</c:v>
                </c:pt>
                <c:pt idx="65">
                  <c:v>44712</c:v>
                </c:pt>
                <c:pt idx="66">
                  <c:v>44742</c:v>
                </c:pt>
                <c:pt idx="67">
                  <c:v>44773</c:v>
                </c:pt>
                <c:pt idx="68">
                  <c:v>44804</c:v>
                </c:pt>
                <c:pt idx="69">
                  <c:v>44834</c:v>
                </c:pt>
                <c:pt idx="70">
                  <c:v>44865</c:v>
                </c:pt>
                <c:pt idx="71">
                  <c:v>44895</c:v>
                </c:pt>
                <c:pt idx="72">
                  <c:v>44926</c:v>
                </c:pt>
                <c:pt idx="73">
                  <c:v>44957</c:v>
                </c:pt>
                <c:pt idx="74">
                  <c:v>44985</c:v>
                </c:pt>
                <c:pt idx="75">
                  <c:v>45016</c:v>
                </c:pt>
                <c:pt idx="76">
                  <c:v>45046</c:v>
                </c:pt>
                <c:pt idx="77">
                  <c:v>45077</c:v>
                </c:pt>
                <c:pt idx="78">
                  <c:v>45107</c:v>
                </c:pt>
                <c:pt idx="79">
                  <c:v>45138</c:v>
                </c:pt>
                <c:pt idx="80">
                  <c:v>45169</c:v>
                </c:pt>
                <c:pt idx="81">
                  <c:v>45199</c:v>
                </c:pt>
                <c:pt idx="82">
                  <c:v>45230</c:v>
                </c:pt>
                <c:pt idx="83">
                  <c:v>45260</c:v>
                </c:pt>
                <c:pt idx="84">
                  <c:v>45291</c:v>
                </c:pt>
                <c:pt idx="85">
                  <c:v>45322</c:v>
                </c:pt>
                <c:pt idx="86">
                  <c:v>45351</c:v>
                </c:pt>
                <c:pt idx="87">
                  <c:v>45382</c:v>
                </c:pt>
                <c:pt idx="88">
                  <c:v>45412</c:v>
                </c:pt>
                <c:pt idx="89">
                  <c:v>45443</c:v>
                </c:pt>
              </c:numCache>
            </c:numRef>
          </c:cat>
          <c:val>
            <c:numRef>
              <c:f>IPCN!$M$21:$CX$21</c:f>
              <c:numCache>
                <c:formatCode>_(* #,##0.00_);_(* \(#,##0.00\);_(* "-"??_);_(@_)</c:formatCode>
                <c:ptCount val="90"/>
                <c:pt idx="0">
                  <c:v>100</c:v>
                </c:pt>
                <c:pt idx="1">
                  <c:v>104.71828144960666</c:v>
                </c:pt>
                <c:pt idx="2">
                  <c:v>104.86423162210792</c:v>
                </c:pt>
                <c:pt idx="3">
                  <c:v>105.35256222792262</c:v>
                </c:pt>
                <c:pt idx="4">
                  <c:v>105.81716987141886</c:v>
                </c:pt>
                <c:pt idx="5">
                  <c:v>106.1640144817714</c:v>
                </c:pt>
                <c:pt idx="6">
                  <c:v>106.31365589860478</c:v>
                </c:pt>
                <c:pt idx="7">
                  <c:v>106.43816426336498</c:v>
                </c:pt>
                <c:pt idx="8">
                  <c:v>106.66348800053527</c:v>
                </c:pt>
                <c:pt idx="9">
                  <c:v>106.34784705305252</c:v>
                </c:pt>
                <c:pt idx="10">
                  <c:v>106.3715322254084</c:v>
                </c:pt>
                <c:pt idx="11">
                  <c:v>106.63452313596228</c:v>
                </c:pt>
                <c:pt idx="12">
                  <c:v>106.77304819817974</c:v>
                </c:pt>
                <c:pt idx="13">
                  <c:v>110.52578497949304</c:v>
                </c:pt>
                <c:pt idx="14">
                  <c:v>110.46316053721605</c:v>
                </c:pt>
                <c:pt idx="15">
                  <c:v>110.65749784844721</c:v>
                </c:pt>
                <c:pt idx="16">
                  <c:v>110.63268008918546</c:v>
                </c:pt>
                <c:pt idx="17">
                  <c:v>110.94805085459285</c:v>
                </c:pt>
                <c:pt idx="18">
                  <c:v>111.25390030361403</c:v>
                </c:pt>
                <c:pt idx="19">
                  <c:v>111.55933596731849</c:v>
                </c:pt>
                <c:pt idx="20">
                  <c:v>111.89482884555862</c:v>
                </c:pt>
                <c:pt idx="21">
                  <c:v>111.68605555509363</c:v>
                </c:pt>
                <c:pt idx="22">
                  <c:v>111.5876046840265</c:v>
                </c:pt>
                <c:pt idx="23">
                  <c:v>111.66397658114192</c:v>
                </c:pt>
                <c:pt idx="24">
                  <c:v>111.9307696200465</c:v>
                </c:pt>
                <c:pt idx="25">
                  <c:v>115.35090513010148</c:v>
                </c:pt>
                <c:pt idx="26">
                  <c:v>114.81571355173431</c:v>
                </c:pt>
                <c:pt idx="27">
                  <c:v>115.08842098578728</c:v>
                </c:pt>
                <c:pt idx="28">
                  <c:v>115.51540185411817</c:v>
                </c:pt>
                <c:pt idx="29">
                  <c:v>115.69883889871176</c:v>
                </c:pt>
                <c:pt idx="30">
                  <c:v>115.64525519549885</c:v>
                </c:pt>
                <c:pt idx="31">
                  <c:v>115.77777171569741</c:v>
                </c:pt>
                <c:pt idx="32">
                  <c:v>115.43343655633346</c:v>
                </c:pt>
                <c:pt idx="33">
                  <c:v>115.03385937461023</c:v>
                </c:pt>
                <c:pt idx="34">
                  <c:v>114.95701352814295</c:v>
                </c:pt>
                <c:pt idx="35">
                  <c:v>114.98541857928875</c:v>
                </c:pt>
                <c:pt idx="36">
                  <c:v>115.09681759784515</c:v>
                </c:pt>
                <c:pt idx="37">
                  <c:v>119.08637349559601</c:v>
                </c:pt>
                <c:pt idx="38">
                  <c:v>119.05952527509316</c:v>
                </c:pt>
                <c:pt idx="39">
                  <c:v>118.82771581119815</c:v>
                </c:pt>
                <c:pt idx="40">
                  <c:v>117.99684464635969</c:v>
                </c:pt>
                <c:pt idx="41">
                  <c:v>118.98152853414157</c:v>
                </c:pt>
                <c:pt idx="42">
                  <c:v>119.50088069906903</c:v>
                </c:pt>
                <c:pt idx="43">
                  <c:v>119.97286934930506</c:v>
                </c:pt>
                <c:pt idx="44">
                  <c:v>120.10667021338884</c:v>
                </c:pt>
                <c:pt idx="45">
                  <c:v>119.65106186552704</c:v>
                </c:pt>
                <c:pt idx="46">
                  <c:v>119.65526529870166</c:v>
                </c:pt>
                <c:pt idx="47">
                  <c:v>118.81659222815347</c:v>
                </c:pt>
                <c:pt idx="48">
                  <c:v>118.72245318532424</c:v>
                </c:pt>
                <c:pt idx="49">
                  <c:v>123.29618705035966</c:v>
                </c:pt>
                <c:pt idx="50">
                  <c:v>123.53502015815245</c:v>
                </c:pt>
                <c:pt idx="51">
                  <c:v>124.37326131967485</c:v>
                </c:pt>
                <c:pt idx="52">
                  <c:v>125.17673869675282</c:v>
                </c:pt>
                <c:pt idx="53">
                  <c:v>125.99408881030557</c:v>
                </c:pt>
                <c:pt idx="54">
                  <c:v>126.52586619120116</c:v>
                </c:pt>
                <c:pt idx="55">
                  <c:v>126.93827234063977</c:v>
                </c:pt>
                <c:pt idx="56">
                  <c:v>126.82312134976198</c:v>
                </c:pt>
                <c:pt idx="57">
                  <c:v>126.83030265137968</c:v>
                </c:pt>
                <c:pt idx="58">
                  <c:v>127.12120647565837</c:v>
                </c:pt>
                <c:pt idx="59">
                  <c:v>127.57917400965947</c:v>
                </c:pt>
                <c:pt idx="60">
                  <c:v>127.45461776925274</c:v>
                </c:pt>
                <c:pt idx="61">
                  <c:v>132.01339864183416</c:v>
                </c:pt>
                <c:pt idx="62">
                  <c:v>132.52833665537014</c:v>
                </c:pt>
                <c:pt idx="63">
                  <c:v>133.6436427503113</c:v>
                </c:pt>
                <c:pt idx="64">
                  <c:v>134.79344527333998</c:v>
                </c:pt>
                <c:pt idx="65">
                  <c:v>135.63593890713139</c:v>
                </c:pt>
                <c:pt idx="66">
                  <c:v>136.63065010386799</c:v>
                </c:pt>
                <c:pt idx="67">
                  <c:v>137.28476546627414</c:v>
                </c:pt>
                <c:pt idx="68">
                  <c:v>137.85092838799798</c:v>
                </c:pt>
                <c:pt idx="69">
                  <c:v>137.86422135570385</c:v>
                </c:pt>
                <c:pt idx="70">
                  <c:v>136.24821414774118</c:v>
                </c:pt>
                <c:pt idx="71">
                  <c:v>137.02895955685088</c:v>
                </c:pt>
                <c:pt idx="72">
                  <c:v>136.60959260198595</c:v>
                </c:pt>
                <c:pt idx="73">
                  <c:v>139.89845229617916</c:v>
                </c:pt>
                <c:pt idx="74">
                  <c:v>140.46737739219367</c:v>
                </c:pt>
                <c:pt idx="75">
                  <c:v>141.77896290814661</c:v>
                </c:pt>
                <c:pt idx="76">
                  <c:v>140.73015433859635</c:v>
                </c:pt>
                <c:pt idx="77">
                  <c:v>140.32611163688296</c:v>
                </c:pt>
                <c:pt idx="78">
                  <c:v>140.62632693337397</c:v>
                </c:pt>
                <c:pt idx="79">
                  <c:v>141.18163817930832</c:v>
                </c:pt>
                <c:pt idx="80">
                  <c:v>141.73272790640411</c:v>
                </c:pt>
                <c:pt idx="81">
                  <c:v>141.83409354041166</c:v>
                </c:pt>
                <c:pt idx="82">
                  <c:v>139.75029058257152</c:v>
                </c:pt>
                <c:pt idx="83">
                  <c:v>140.66641354630573</c:v>
                </c:pt>
                <c:pt idx="84">
                  <c:v>140.84868331011756</c:v>
                </c:pt>
                <c:pt idx="85">
                  <c:v>145.55703587806619</c:v>
                </c:pt>
                <c:pt idx="86">
                  <c:v>146.60550480283129</c:v>
                </c:pt>
                <c:pt idx="87">
                  <c:v>148.24899513532588</c:v>
                </c:pt>
                <c:pt idx="88">
                  <c:v>146.74247091739383</c:v>
                </c:pt>
                <c:pt idx="89">
                  <c:v>145.246110085721</c:v>
                </c:pt>
              </c:numCache>
            </c:numRef>
          </c:val>
          <c:smooth val="0"/>
          <c:extLst>
            <c:ext xmlns:c16="http://schemas.microsoft.com/office/drawing/2014/chart" uri="{C3380CC4-5D6E-409C-BE32-E72D297353CC}">
              <c16:uniqueId val="{00000000-C07F-4FA3-8E91-B575457C172A}"/>
            </c:ext>
          </c:extLst>
        </c:ser>
        <c:ser>
          <c:idx val="1"/>
          <c:order val="1"/>
          <c:tx>
            <c:v>kymber pricing</c:v>
          </c:tx>
          <c:spPr>
            <a:ln w="28575" cap="rnd">
              <a:solidFill>
                <a:schemeClr val="accent2"/>
              </a:solidFill>
              <a:round/>
            </a:ln>
            <a:effectLst/>
          </c:spPr>
          <c:marker>
            <c:symbol val="none"/>
          </c:marker>
          <c:cat>
            <c:numRef>
              <c:f>IPCN!$M$2:$CX$2</c:f>
              <c:numCache>
                <c:formatCode>mmm\-yy</c:formatCode>
                <c:ptCount val="90"/>
                <c:pt idx="0">
                  <c:v>42735</c:v>
                </c:pt>
                <c:pt idx="1">
                  <c:v>42766</c:v>
                </c:pt>
                <c:pt idx="2">
                  <c:v>42794</c:v>
                </c:pt>
                <c:pt idx="3">
                  <c:v>42825</c:v>
                </c:pt>
                <c:pt idx="4">
                  <c:v>42855</c:v>
                </c:pt>
                <c:pt idx="5">
                  <c:v>42886</c:v>
                </c:pt>
                <c:pt idx="6">
                  <c:v>42916</c:v>
                </c:pt>
                <c:pt idx="7">
                  <c:v>42947</c:v>
                </c:pt>
                <c:pt idx="8">
                  <c:v>42978</c:v>
                </c:pt>
                <c:pt idx="9">
                  <c:v>43008</c:v>
                </c:pt>
                <c:pt idx="10">
                  <c:v>43039</c:v>
                </c:pt>
                <c:pt idx="11">
                  <c:v>43069</c:v>
                </c:pt>
                <c:pt idx="12">
                  <c:v>43100</c:v>
                </c:pt>
                <c:pt idx="13">
                  <c:v>43131</c:v>
                </c:pt>
                <c:pt idx="14">
                  <c:v>43159</c:v>
                </c:pt>
                <c:pt idx="15">
                  <c:v>43190</c:v>
                </c:pt>
                <c:pt idx="16">
                  <c:v>43220</c:v>
                </c:pt>
                <c:pt idx="17">
                  <c:v>43251</c:v>
                </c:pt>
                <c:pt idx="18">
                  <c:v>43281</c:v>
                </c:pt>
                <c:pt idx="19">
                  <c:v>43312</c:v>
                </c:pt>
                <c:pt idx="20">
                  <c:v>43343</c:v>
                </c:pt>
                <c:pt idx="21">
                  <c:v>43373</c:v>
                </c:pt>
                <c:pt idx="22">
                  <c:v>43404</c:v>
                </c:pt>
                <c:pt idx="23">
                  <c:v>43434</c:v>
                </c:pt>
                <c:pt idx="24">
                  <c:v>43465</c:v>
                </c:pt>
                <c:pt idx="25">
                  <c:v>43496</c:v>
                </c:pt>
                <c:pt idx="26">
                  <c:v>43524</c:v>
                </c:pt>
                <c:pt idx="27">
                  <c:v>43555</c:v>
                </c:pt>
                <c:pt idx="28">
                  <c:v>43585</c:v>
                </c:pt>
                <c:pt idx="29">
                  <c:v>43616</c:v>
                </c:pt>
                <c:pt idx="30">
                  <c:v>43646</c:v>
                </c:pt>
                <c:pt idx="31">
                  <c:v>43677</c:v>
                </c:pt>
                <c:pt idx="32">
                  <c:v>43708</c:v>
                </c:pt>
                <c:pt idx="33">
                  <c:v>43738</c:v>
                </c:pt>
                <c:pt idx="34">
                  <c:v>43769</c:v>
                </c:pt>
                <c:pt idx="35">
                  <c:v>43799</c:v>
                </c:pt>
                <c:pt idx="36">
                  <c:v>43830</c:v>
                </c:pt>
                <c:pt idx="37">
                  <c:v>43861</c:v>
                </c:pt>
                <c:pt idx="38">
                  <c:v>43890</c:v>
                </c:pt>
                <c:pt idx="39">
                  <c:v>43921</c:v>
                </c:pt>
                <c:pt idx="40">
                  <c:v>43951</c:v>
                </c:pt>
                <c:pt idx="41">
                  <c:v>43982</c:v>
                </c:pt>
                <c:pt idx="42">
                  <c:v>44012</c:v>
                </c:pt>
                <c:pt idx="43">
                  <c:v>44043</c:v>
                </c:pt>
                <c:pt idx="44">
                  <c:v>44074</c:v>
                </c:pt>
                <c:pt idx="45">
                  <c:v>44104</c:v>
                </c:pt>
                <c:pt idx="46">
                  <c:v>44135</c:v>
                </c:pt>
                <c:pt idx="47">
                  <c:v>44165</c:v>
                </c:pt>
                <c:pt idx="48">
                  <c:v>44196</c:v>
                </c:pt>
                <c:pt idx="49">
                  <c:v>44227</c:v>
                </c:pt>
                <c:pt idx="50">
                  <c:v>44255</c:v>
                </c:pt>
                <c:pt idx="51">
                  <c:v>44286</c:v>
                </c:pt>
                <c:pt idx="52">
                  <c:v>44316</c:v>
                </c:pt>
                <c:pt idx="53">
                  <c:v>44347</c:v>
                </c:pt>
                <c:pt idx="54">
                  <c:v>44377</c:v>
                </c:pt>
                <c:pt idx="55">
                  <c:v>44408</c:v>
                </c:pt>
                <c:pt idx="56">
                  <c:v>44439</c:v>
                </c:pt>
                <c:pt idx="57">
                  <c:v>44469</c:v>
                </c:pt>
                <c:pt idx="58">
                  <c:v>44500</c:v>
                </c:pt>
                <c:pt idx="59">
                  <c:v>44530</c:v>
                </c:pt>
                <c:pt idx="60">
                  <c:v>44561</c:v>
                </c:pt>
                <c:pt idx="61">
                  <c:v>44592</c:v>
                </c:pt>
                <c:pt idx="62">
                  <c:v>44620</c:v>
                </c:pt>
                <c:pt idx="63">
                  <c:v>44651</c:v>
                </c:pt>
                <c:pt idx="64">
                  <c:v>44681</c:v>
                </c:pt>
                <c:pt idx="65">
                  <c:v>44712</c:v>
                </c:pt>
                <c:pt idx="66">
                  <c:v>44742</c:v>
                </c:pt>
                <c:pt idx="67">
                  <c:v>44773</c:v>
                </c:pt>
                <c:pt idx="68">
                  <c:v>44804</c:v>
                </c:pt>
                <c:pt idx="69">
                  <c:v>44834</c:v>
                </c:pt>
                <c:pt idx="70">
                  <c:v>44865</c:v>
                </c:pt>
                <c:pt idx="71">
                  <c:v>44895</c:v>
                </c:pt>
                <c:pt idx="72">
                  <c:v>44926</c:v>
                </c:pt>
                <c:pt idx="73">
                  <c:v>44957</c:v>
                </c:pt>
                <c:pt idx="74">
                  <c:v>44985</c:v>
                </c:pt>
                <c:pt idx="75">
                  <c:v>45016</c:v>
                </c:pt>
                <c:pt idx="76">
                  <c:v>45046</c:v>
                </c:pt>
                <c:pt idx="77">
                  <c:v>45077</c:v>
                </c:pt>
                <c:pt idx="78">
                  <c:v>45107</c:v>
                </c:pt>
                <c:pt idx="79">
                  <c:v>45138</c:v>
                </c:pt>
                <c:pt idx="80">
                  <c:v>45169</c:v>
                </c:pt>
                <c:pt idx="81">
                  <c:v>45199</c:v>
                </c:pt>
                <c:pt idx="82">
                  <c:v>45230</c:v>
                </c:pt>
                <c:pt idx="83">
                  <c:v>45260</c:v>
                </c:pt>
                <c:pt idx="84">
                  <c:v>45291</c:v>
                </c:pt>
                <c:pt idx="85">
                  <c:v>45322</c:v>
                </c:pt>
                <c:pt idx="86">
                  <c:v>45351</c:v>
                </c:pt>
                <c:pt idx="87">
                  <c:v>45382</c:v>
                </c:pt>
                <c:pt idx="88">
                  <c:v>45412</c:v>
                </c:pt>
                <c:pt idx="89">
                  <c:v>45443</c:v>
                </c:pt>
              </c:numCache>
            </c:numRef>
          </c:cat>
          <c:val>
            <c:numRef>
              <c:f>IPCN!$M$27:$CX$27</c:f>
              <c:numCache>
                <c:formatCode>0.00</c:formatCode>
                <c:ptCount val="90"/>
                <c:pt idx="0" formatCode="General">
                  <c:v>100</c:v>
                </c:pt>
                <c:pt idx="1">
                  <c:v>106.89999999999999</c:v>
                </c:pt>
                <c:pt idx="2">
                  <c:v>106.89999999999999</c:v>
                </c:pt>
                <c:pt idx="3">
                  <c:v>106.89999999999999</c:v>
                </c:pt>
                <c:pt idx="4">
                  <c:v>107</c:v>
                </c:pt>
                <c:pt idx="5">
                  <c:v>107</c:v>
                </c:pt>
                <c:pt idx="6">
                  <c:v>107</c:v>
                </c:pt>
                <c:pt idx="7">
                  <c:v>103.89999999999999</c:v>
                </c:pt>
                <c:pt idx="8">
                  <c:v>103.89999999999999</c:v>
                </c:pt>
                <c:pt idx="9">
                  <c:v>103.89999999999999</c:v>
                </c:pt>
                <c:pt idx="10">
                  <c:v>103.1</c:v>
                </c:pt>
                <c:pt idx="11">
                  <c:v>103.1</c:v>
                </c:pt>
                <c:pt idx="12">
                  <c:v>103.1</c:v>
                </c:pt>
                <c:pt idx="13">
                  <c:v>112.4588</c:v>
                </c:pt>
                <c:pt idx="14">
                  <c:v>112.4588</c:v>
                </c:pt>
                <c:pt idx="15">
                  <c:v>112.4588</c:v>
                </c:pt>
                <c:pt idx="16">
                  <c:v>114.27600000000001</c:v>
                </c:pt>
                <c:pt idx="17">
                  <c:v>114.27600000000001</c:v>
                </c:pt>
                <c:pt idx="18">
                  <c:v>114.27600000000001</c:v>
                </c:pt>
                <c:pt idx="19">
                  <c:v>112.93929999999999</c:v>
                </c:pt>
                <c:pt idx="20">
                  <c:v>112.93929999999999</c:v>
                </c:pt>
                <c:pt idx="21">
                  <c:v>112.93929999999999</c:v>
                </c:pt>
                <c:pt idx="22">
                  <c:v>112.379</c:v>
                </c:pt>
                <c:pt idx="23">
                  <c:v>112.379</c:v>
                </c:pt>
                <c:pt idx="24">
                  <c:v>112.379</c:v>
                </c:pt>
                <c:pt idx="25">
                  <c:v>121.455504</c:v>
                </c:pt>
                <c:pt idx="26">
                  <c:v>121.455504</c:v>
                </c:pt>
                <c:pt idx="27">
                  <c:v>121.455504</c:v>
                </c:pt>
                <c:pt idx="28">
                  <c:v>123.41808000000002</c:v>
                </c:pt>
                <c:pt idx="29">
                  <c:v>123.41808000000002</c:v>
                </c:pt>
                <c:pt idx="30">
                  <c:v>123.41808000000002</c:v>
                </c:pt>
                <c:pt idx="31">
                  <c:v>119.71565799999999</c:v>
                </c:pt>
                <c:pt idx="32">
                  <c:v>119.71565799999999</c:v>
                </c:pt>
                <c:pt idx="33">
                  <c:v>119.71565799999999</c:v>
                </c:pt>
                <c:pt idx="34">
                  <c:v>112.379</c:v>
                </c:pt>
                <c:pt idx="35">
                  <c:v>112.379</c:v>
                </c:pt>
                <c:pt idx="36">
                  <c:v>112.379</c:v>
                </c:pt>
                <c:pt idx="37">
                  <c:v>120.24094896</c:v>
                </c:pt>
                <c:pt idx="38">
                  <c:v>120.24094896</c:v>
                </c:pt>
                <c:pt idx="39">
                  <c:v>120.24094896</c:v>
                </c:pt>
                <c:pt idx="40">
                  <c:v>129.58898400000001</c:v>
                </c:pt>
                <c:pt idx="41">
                  <c:v>129.58898400000001</c:v>
                </c:pt>
                <c:pt idx="42">
                  <c:v>129.58898400000001</c:v>
                </c:pt>
                <c:pt idx="43">
                  <c:v>119.71565799999999</c:v>
                </c:pt>
                <c:pt idx="44">
                  <c:v>119.71565799999999</c:v>
                </c:pt>
                <c:pt idx="45">
                  <c:v>119.71565799999999</c:v>
                </c:pt>
                <c:pt idx="46">
                  <c:v>116.87416</c:v>
                </c:pt>
                <c:pt idx="47">
                  <c:v>116.87416</c:v>
                </c:pt>
                <c:pt idx="48">
                  <c:v>116.87416</c:v>
                </c:pt>
                <c:pt idx="49">
                  <c:v>127.4554058976</c:v>
                </c:pt>
                <c:pt idx="50">
                  <c:v>127.4554058976</c:v>
                </c:pt>
                <c:pt idx="51">
                  <c:v>127.4554058976</c:v>
                </c:pt>
                <c:pt idx="52">
                  <c:v>130.88487384000001</c:v>
                </c:pt>
                <c:pt idx="53">
                  <c:v>130.88487384000001</c:v>
                </c:pt>
                <c:pt idx="54">
                  <c:v>130.88487384000001</c:v>
                </c:pt>
                <c:pt idx="55">
                  <c:v>122.10997115999999</c:v>
                </c:pt>
                <c:pt idx="56">
                  <c:v>122.10997115999999</c:v>
                </c:pt>
                <c:pt idx="57">
                  <c:v>122.10997115999999</c:v>
                </c:pt>
                <c:pt idx="58">
                  <c:v>122.71786800000001</c:v>
                </c:pt>
                <c:pt idx="59">
                  <c:v>122.71786800000001</c:v>
                </c:pt>
                <c:pt idx="60">
                  <c:v>122.71786800000001</c:v>
                </c:pt>
                <c:pt idx="61">
                  <c:v>136.377284310432</c:v>
                </c:pt>
                <c:pt idx="62">
                  <c:v>136.377284310432</c:v>
                </c:pt>
                <c:pt idx="63">
                  <c:v>136.377284310432</c:v>
                </c:pt>
                <c:pt idx="64">
                  <c:v>147.89990743920001</c:v>
                </c:pt>
                <c:pt idx="65">
                  <c:v>147.89990743920001</c:v>
                </c:pt>
                <c:pt idx="66">
                  <c:v>147.89990743920001</c:v>
                </c:pt>
                <c:pt idx="67">
                  <c:v>144.70031582459998</c:v>
                </c:pt>
                <c:pt idx="68">
                  <c:v>144.70031582459998</c:v>
                </c:pt>
                <c:pt idx="69">
                  <c:v>144.70031582459998</c:v>
                </c:pt>
                <c:pt idx="70">
                  <c:v>142.35272688000001</c:v>
                </c:pt>
                <c:pt idx="71">
                  <c:v>142.35272688000001</c:v>
                </c:pt>
                <c:pt idx="72">
                  <c:v>142.35272688000001</c:v>
                </c:pt>
                <c:pt idx="73">
                  <c:v>151.37878558457953</c:v>
                </c:pt>
                <c:pt idx="74">
                  <c:v>151.37878558457953</c:v>
                </c:pt>
                <c:pt idx="75">
                  <c:v>151.37878558457953</c:v>
                </c:pt>
                <c:pt idx="76">
                  <c:v>158.4008008673832</c:v>
                </c:pt>
                <c:pt idx="77">
                  <c:v>158.4008008673832</c:v>
                </c:pt>
                <c:pt idx="78">
                  <c:v>158.4008008673832</c:v>
                </c:pt>
                <c:pt idx="79">
                  <c:v>146.14731898284597</c:v>
                </c:pt>
                <c:pt idx="80">
                  <c:v>146.14731898284597</c:v>
                </c:pt>
                <c:pt idx="81">
                  <c:v>146.14731898284597</c:v>
                </c:pt>
                <c:pt idx="82">
                  <c:v>151.32094867344</c:v>
                </c:pt>
                <c:pt idx="83">
                  <c:v>151.32094867344</c:v>
                </c:pt>
                <c:pt idx="84">
                  <c:v>151.32094867344</c:v>
                </c:pt>
                <c:pt idx="85">
                  <c:v>153.19533101159448</c:v>
                </c:pt>
                <c:pt idx="86">
                  <c:v>153.19533101159448</c:v>
                </c:pt>
                <c:pt idx="87">
                  <c:v>153.19533101159448</c:v>
                </c:pt>
                <c:pt idx="88">
                  <c:v>158.4008008673832</c:v>
                </c:pt>
                <c:pt idx="89">
                  <c:v>158.4008008673832</c:v>
                </c:pt>
              </c:numCache>
            </c:numRef>
          </c:val>
          <c:smooth val="0"/>
          <c:extLst>
            <c:ext xmlns:c16="http://schemas.microsoft.com/office/drawing/2014/chart" uri="{C3380CC4-5D6E-409C-BE32-E72D297353CC}">
              <c16:uniqueId val="{00000001-C07F-4FA3-8E91-B575457C172A}"/>
            </c:ext>
          </c:extLst>
        </c:ser>
        <c:dLbls>
          <c:showLegendKey val="0"/>
          <c:showVal val="0"/>
          <c:showCatName val="0"/>
          <c:showSerName val="0"/>
          <c:showPercent val="0"/>
          <c:showBubbleSize val="0"/>
        </c:dLbls>
        <c:smooth val="0"/>
        <c:axId val="1436683968"/>
        <c:axId val="1436691528"/>
      </c:lineChart>
      <c:dateAx>
        <c:axId val="143668396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91528"/>
        <c:crosses val="autoZero"/>
        <c:auto val="1"/>
        <c:lblOffset val="100"/>
        <c:baseTimeUnit val="months"/>
      </c:dateAx>
      <c:valAx>
        <c:axId val="1436691528"/>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83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FAT!$A$27</c:f>
              <c:strCache>
                <c:ptCount val="1"/>
                <c:pt idx="0">
                  <c:v> COGS ex Dep </c:v>
                </c:pt>
              </c:strCache>
            </c:strRef>
          </c:tx>
          <c:spPr>
            <a:ln w="28575" cap="rnd">
              <a:solidFill>
                <a:schemeClr val="accent1"/>
              </a:solidFill>
              <a:round/>
            </a:ln>
            <a:effectLst/>
          </c:spPr>
          <c:marker>
            <c:symbol val="none"/>
          </c:marker>
          <c:cat>
            <c:numRef>
              <c:f>FAT!$F$1:$AK$1</c:f>
              <c:numCache>
                <c:formatCode>mmm\-yy</c:formatCode>
                <c:ptCount val="32"/>
                <c:pt idx="0">
                  <c:v>42825</c:v>
                </c:pt>
                <c:pt idx="1">
                  <c:v>42916</c:v>
                </c:pt>
                <c:pt idx="2">
                  <c:v>43008</c:v>
                </c:pt>
                <c:pt idx="3">
                  <c:v>43100</c:v>
                </c:pt>
                <c:pt idx="4">
                  <c:v>43190</c:v>
                </c:pt>
                <c:pt idx="5">
                  <c:v>43281</c:v>
                </c:pt>
                <c:pt idx="6">
                  <c:v>43373</c:v>
                </c:pt>
                <c:pt idx="7">
                  <c:v>43465</c:v>
                </c:pt>
                <c:pt idx="8">
                  <c:v>43555</c:v>
                </c:pt>
                <c:pt idx="9">
                  <c:v>43646</c:v>
                </c:pt>
                <c:pt idx="10">
                  <c:v>43738</c:v>
                </c:pt>
                <c:pt idx="11">
                  <c:v>43830</c:v>
                </c:pt>
                <c:pt idx="12">
                  <c:v>43921</c:v>
                </c:pt>
                <c:pt idx="13">
                  <c:v>44012</c:v>
                </c:pt>
                <c:pt idx="14">
                  <c:v>44104</c:v>
                </c:pt>
                <c:pt idx="15">
                  <c:v>44196</c:v>
                </c:pt>
                <c:pt idx="16">
                  <c:v>44286</c:v>
                </c:pt>
                <c:pt idx="17">
                  <c:v>44377</c:v>
                </c:pt>
                <c:pt idx="18">
                  <c:v>44469</c:v>
                </c:pt>
                <c:pt idx="19">
                  <c:v>44561</c:v>
                </c:pt>
                <c:pt idx="20">
                  <c:v>44651</c:v>
                </c:pt>
                <c:pt idx="21">
                  <c:v>44742</c:v>
                </c:pt>
                <c:pt idx="22">
                  <c:v>44834</c:v>
                </c:pt>
                <c:pt idx="23">
                  <c:v>44925</c:v>
                </c:pt>
                <c:pt idx="24">
                  <c:v>45016</c:v>
                </c:pt>
                <c:pt idx="25">
                  <c:v>45107</c:v>
                </c:pt>
                <c:pt idx="26">
                  <c:v>45199</c:v>
                </c:pt>
                <c:pt idx="27">
                  <c:v>45291</c:v>
                </c:pt>
                <c:pt idx="28">
                  <c:v>45382</c:v>
                </c:pt>
                <c:pt idx="29">
                  <c:v>45473</c:v>
                </c:pt>
                <c:pt idx="30">
                  <c:v>45565</c:v>
                </c:pt>
                <c:pt idx="31">
                  <c:v>45657</c:v>
                </c:pt>
              </c:numCache>
            </c:numRef>
          </c:cat>
          <c:val>
            <c:numRef>
              <c:f>FAT!$F$27:$AK$27</c:f>
              <c:numCache>
                <c:formatCode>_-* #,##0_-;\-* #,##0_-;_-* "-"??_-;_-@_-</c:formatCode>
                <c:ptCount val="32"/>
                <c:pt idx="0">
                  <c:v>-5709.6970000000001</c:v>
                </c:pt>
                <c:pt idx="1">
                  <c:v>-5791.4380000000001</c:v>
                </c:pt>
                <c:pt idx="2">
                  <c:v>-5624.625</c:v>
                </c:pt>
                <c:pt idx="3">
                  <c:v>-5638.1850000000004</c:v>
                </c:pt>
                <c:pt idx="4">
                  <c:v>-6065.2950000000001</c:v>
                </c:pt>
                <c:pt idx="5">
                  <c:v>-6371.0150000000003</c:v>
                </c:pt>
                <c:pt idx="6">
                  <c:v>-6178.3680000000004</c:v>
                </c:pt>
                <c:pt idx="7">
                  <c:v>-6509.2820000000002</c:v>
                </c:pt>
                <c:pt idx="8">
                  <c:v>-6641</c:v>
                </c:pt>
                <c:pt idx="9">
                  <c:v>-6582.6450000000004</c:v>
                </c:pt>
                <c:pt idx="10">
                  <c:v>-5931.384</c:v>
                </c:pt>
                <c:pt idx="11">
                  <c:v>-6079.0240000000003</c:v>
                </c:pt>
                <c:pt idx="12">
                  <c:v>-6554.7539999999999</c:v>
                </c:pt>
                <c:pt idx="13">
                  <c:v>-7105.6970000000001</c:v>
                </c:pt>
                <c:pt idx="14">
                  <c:v>-6408.8240000000005</c:v>
                </c:pt>
                <c:pt idx="15">
                  <c:v>-6671.0110000000004</c:v>
                </c:pt>
                <c:pt idx="16">
                  <c:v>-6944.9870000000001</c:v>
                </c:pt>
                <c:pt idx="17">
                  <c:v>-7192.5420000000004</c:v>
                </c:pt>
                <c:pt idx="18">
                  <c:v>-7247.741</c:v>
                </c:pt>
                <c:pt idx="19">
                  <c:v>-7787.7360000000008</c:v>
                </c:pt>
                <c:pt idx="20">
                  <c:v>-8127.4619999999995</c:v>
                </c:pt>
                <c:pt idx="21">
                  <c:v>-8220.0840000000007</c:v>
                </c:pt>
                <c:pt idx="22">
                  <c:v>-8046.6180000000004</c:v>
                </c:pt>
                <c:pt idx="23">
                  <c:v>-7919.503999999999</c:v>
                </c:pt>
                <c:pt idx="24">
                  <c:v>-8143.6690000000008</c:v>
                </c:pt>
                <c:pt idx="25">
                  <c:v>-7994.8519999999999</c:v>
                </c:pt>
                <c:pt idx="26">
                  <c:v>-7095.8950000000004</c:v>
                </c:pt>
                <c:pt idx="27">
                  <c:v>-7388.0789999999997</c:v>
                </c:pt>
                <c:pt idx="28">
                  <c:v>-7466.8740000000007</c:v>
                </c:pt>
                <c:pt idx="29">
                  <c:v>-7618.2669999999998</c:v>
                </c:pt>
                <c:pt idx="30">
                  <c:v>-7443.0870000000004</c:v>
                </c:pt>
                <c:pt idx="31">
                  <c:v>-7823.0880000000006</c:v>
                </c:pt>
              </c:numCache>
            </c:numRef>
          </c:val>
          <c:smooth val="0"/>
          <c:extLst>
            <c:ext xmlns:c16="http://schemas.microsoft.com/office/drawing/2014/chart" uri="{C3380CC4-5D6E-409C-BE32-E72D297353CC}">
              <c16:uniqueId val="{00000000-250B-4994-9A05-1333CF67F31F}"/>
            </c:ext>
          </c:extLst>
        </c:ser>
        <c:ser>
          <c:idx val="1"/>
          <c:order val="1"/>
          <c:tx>
            <c:strRef>
              <c:f>FAT!#REF!</c:f>
              <c:strCache>
                <c:ptCount val="1"/>
                <c:pt idx="0">
                  <c:v>#¡REF!</c:v>
                </c:pt>
              </c:strCache>
            </c:strRef>
          </c:tx>
          <c:spPr>
            <a:ln w="28575" cap="rnd">
              <a:solidFill>
                <a:schemeClr val="accent2"/>
              </a:solidFill>
              <a:round/>
            </a:ln>
            <a:effectLst/>
          </c:spPr>
          <c:marker>
            <c:symbol val="none"/>
          </c:marker>
          <c:cat>
            <c:numRef>
              <c:f>FAT!$F$1:$AK$1</c:f>
              <c:numCache>
                <c:formatCode>mmm\-yy</c:formatCode>
                <c:ptCount val="32"/>
                <c:pt idx="0">
                  <c:v>42825</c:v>
                </c:pt>
                <c:pt idx="1">
                  <c:v>42916</c:v>
                </c:pt>
                <c:pt idx="2">
                  <c:v>43008</c:v>
                </c:pt>
                <c:pt idx="3">
                  <c:v>43100</c:v>
                </c:pt>
                <c:pt idx="4">
                  <c:v>43190</c:v>
                </c:pt>
                <c:pt idx="5">
                  <c:v>43281</c:v>
                </c:pt>
                <c:pt idx="6">
                  <c:v>43373</c:v>
                </c:pt>
                <c:pt idx="7">
                  <c:v>43465</c:v>
                </c:pt>
                <c:pt idx="8">
                  <c:v>43555</c:v>
                </c:pt>
                <c:pt idx="9">
                  <c:v>43646</c:v>
                </c:pt>
                <c:pt idx="10">
                  <c:v>43738</c:v>
                </c:pt>
                <c:pt idx="11">
                  <c:v>43830</c:v>
                </c:pt>
                <c:pt idx="12">
                  <c:v>43921</c:v>
                </c:pt>
                <c:pt idx="13">
                  <c:v>44012</c:v>
                </c:pt>
                <c:pt idx="14">
                  <c:v>44104</c:v>
                </c:pt>
                <c:pt idx="15">
                  <c:v>44196</c:v>
                </c:pt>
                <c:pt idx="16">
                  <c:v>44286</c:v>
                </c:pt>
                <c:pt idx="17">
                  <c:v>44377</c:v>
                </c:pt>
                <c:pt idx="18">
                  <c:v>44469</c:v>
                </c:pt>
                <c:pt idx="19">
                  <c:v>44561</c:v>
                </c:pt>
                <c:pt idx="20">
                  <c:v>44651</c:v>
                </c:pt>
                <c:pt idx="21">
                  <c:v>44742</c:v>
                </c:pt>
                <c:pt idx="22">
                  <c:v>44834</c:v>
                </c:pt>
                <c:pt idx="23">
                  <c:v>44925</c:v>
                </c:pt>
                <c:pt idx="24">
                  <c:v>45016</c:v>
                </c:pt>
                <c:pt idx="25">
                  <c:v>45107</c:v>
                </c:pt>
                <c:pt idx="26">
                  <c:v>45199</c:v>
                </c:pt>
                <c:pt idx="27">
                  <c:v>45291</c:v>
                </c:pt>
                <c:pt idx="28">
                  <c:v>45382</c:v>
                </c:pt>
                <c:pt idx="29">
                  <c:v>45473</c:v>
                </c:pt>
                <c:pt idx="30">
                  <c:v>45565</c:v>
                </c:pt>
                <c:pt idx="31">
                  <c:v>45657</c:v>
                </c:pt>
              </c:numCache>
            </c:numRef>
          </c:cat>
          <c:val>
            <c:numRef>
              <c:f>FAT!#REF!</c:f>
              <c:numCache>
                <c:formatCode>General</c:formatCode>
                <c:ptCount val="1"/>
                <c:pt idx="0">
                  <c:v>1</c:v>
                </c:pt>
              </c:numCache>
            </c:numRef>
          </c:val>
          <c:smooth val="0"/>
          <c:extLst>
            <c:ext xmlns:c16="http://schemas.microsoft.com/office/drawing/2014/chart" uri="{C3380CC4-5D6E-409C-BE32-E72D297353CC}">
              <c16:uniqueId val="{00000001-250B-4994-9A05-1333CF67F31F}"/>
            </c:ext>
          </c:extLst>
        </c:ser>
        <c:dLbls>
          <c:showLegendKey val="0"/>
          <c:showVal val="0"/>
          <c:showCatName val="0"/>
          <c:showSerName val="0"/>
          <c:showPercent val="0"/>
          <c:showBubbleSize val="0"/>
        </c:dLbls>
        <c:smooth val="0"/>
        <c:axId val="2105880496"/>
        <c:axId val="2105878336"/>
      </c:lineChart>
      <c:dateAx>
        <c:axId val="210588049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78336"/>
        <c:crosses val="autoZero"/>
        <c:auto val="1"/>
        <c:lblOffset val="100"/>
        <c:baseTimeUnit val="months"/>
      </c:dateAx>
      <c:valAx>
        <c:axId val="210587833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80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FAT!$A$27</c:f>
              <c:strCache>
                <c:ptCount val="1"/>
                <c:pt idx="0">
                  <c:v> COGS ex Dep </c:v>
                </c:pt>
              </c:strCache>
            </c:strRef>
          </c:tx>
          <c:spPr>
            <a:ln w="28575" cap="rnd">
              <a:solidFill>
                <a:schemeClr val="accent1"/>
              </a:solidFill>
              <a:round/>
            </a:ln>
            <a:effectLst/>
          </c:spPr>
          <c:marker>
            <c:symbol val="none"/>
          </c:marker>
          <c:cat>
            <c:numRef>
              <c:f>FAT!$BO$1:$BX$1</c:f>
              <c:numCache>
                <c:formatCode>mmm\-yy</c:formatCode>
                <c:ptCount val="9"/>
                <c:pt idx="0">
                  <c:v>42735</c:v>
                </c:pt>
                <c:pt idx="1">
                  <c:v>43100</c:v>
                </c:pt>
                <c:pt idx="2">
                  <c:v>43465</c:v>
                </c:pt>
                <c:pt idx="3">
                  <c:v>43830</c:v>
                </c:pt>
                <c:pt idx="4">
                  <c:v>44196</c:v>
                </c:pt>
                <c:pt idx="5">
                  <c:v>44561</c:v>
                </c:pt>
                <c:pt idx="6">
                  <c:v>44926</c:v>
                </c:pt>
                <c:pt idx="7">
                  <c:v>45291</c:v>
                </c:pt>
                <c:pt idx="8">
                  <c:v>45657</c:v>
                </c:pt>
              </c:numCache>
            </c:numRef>
          </c:cat>
          <c:val>
            <c:numRef>
              <c:f>FAT!$BO$27:$BX$27</c:f>
              <c:numCache>
                <c:formatCode>_-* #,##0_-;\-* #,##0_-;_-* "-"??_-;_-@_-</c:formatCode>
                <c:ptCount val="9"/>
                <c:pt idx="0">
                  <c:v>-20274.442999999999</c:v>
                </c:pt>
                <c:pt idx="1">
                  <c:v>-23983.135999999999</c:v>
                </c:pt>
                <c:pt idx="2">
                  <c:v>-26303.96</c:v>
                </c:pt>
                <c:pt idx="3">
                  <c:v>-26720.053</c:v>
                </c:pt>
                <c:pt idx="4">
                  <c:v>-26740.286</c:v>
                </c:pt>
                <c:pt idx="5">
                  <c:v>-29173.006000000005</c:v>
                </c:pt>
                <c:pt idx="6">
                  <c:v>-32313.668000000001</c:v>
                </c:pt>
                <c:pt idx="7">
                  <c:v>-30622.494999999999</c:v>
                </c:pt>
                <c:pt idx="8">
                  <c:v>-30351.316000000003</c:v>
                </c:pt>
              </c:numCache>
            </c:numRef>
          </c:val>
          <c:smooth val="0"/>
          <c:extLst>
            <c:ext xmlns:c16="http://schemas.microsoft.com/office/drawing/2014/chart" uri="{C3380CC4-5D6E-409C-BE32-E72D297353CC}">
              <c16:uniqueId val="{00000000-D20D-4AC6-B4DE-0FB0AF86B1D4}"/>
            </c:ext>
          </c:extLst>
        </c:ser>
        <c:ser>
          <c:idx val="1"/>
          <c:order val="1"/>
          <c:tx>
            <c:strRef>
              <c:f>FAT!#REF!</c:f>
              <c:strCache>
                <c:ptCount val="1"/>
                <c:pt idx="0">
                  <c:v>#¡REF!</c:v>
                </c:pt>
              </c:strCache>
            </c:strRef>
          </c:tx>
          <c:spPr>
            <a:ln w="28575" cap="rnd">
              <a:solidFill>
                <a:schemeClr val="accent2"/>
              </a:solidFill>
              <a:round/>
            </a:ln>
            <a:effectLst/>
          </c:spPr>
          <c:marker>
            <c:symbol val="none"/>
          </c:marker>
          <c:cat>
            <c:numRef>
              <c:f>FAT!$BO$1:$BX$1</c:f>
              <c:numCache>
                <c:formatCode>mmm\-yy</c:formatCode>
                <c:ptCount val="9"/>
                <c:pt idx="0">
                  <c:v>42735</c:v>
                </c:pt>
                <c:pt idx="1">
                  <c:v>43100</c:v>
                </c:pt>
                <c:pt idx="2">
                  <c:v>43465</c:v>
                </c:pt>
                <c:pt idx="3">
                  <c:v>43830</c:v>
                </c:pt>
                <c:pt idx="4">
                  <c:v>44196</c:v>
                </c:pt>
                <c:pt idx="5">
                  <c:v>44561</c:v>
                </c:pt>
                <c:pt idx="6">
                  <c:v>44926</c:v>
                </c:pt>
                <c:pt idx="7">
                  <c:v>45291</c:v>
                </c:pt>
                <c:pt idx="8">
                  <c:v>45657</c:v>
                </c:pt>
              </c:numCache>
            </c:numRef>
          </c:cat>
          <c:val>
            <c:numRef>
              <c:f>FAT!#REF!</c:f>
              <c:numCache>
                <c:formatCode>General</c:formatCode>
                <c:ptCount val="1"/>
                <c:pt idx="0">
                  <c:v>1</c:v>
                </c:pt>
              </c:numCache>
            </c:numRef>
          </c:val>
          <c:smooth val="0"/>
          <c:extLst>
            <c:ext xmlns:c16="http://schemas.microsoft.com/office/drawing/2014/chart" uri="{C3380CC4-5D6E-409C-BE32-E72D297353CC}">
              <c16:uniqueId val="{00000001-D20D-4AC6-B4DE-0FB0AF86B1D4}"/>
            </c:ext>
          </c:extLst>
        </c:ser>
        <c:dLbls>
          <c:showLegendKey val="0"/>
          <c:showVal val="0"/>
          <c:showCatName val="0"/>
          <c:showSerName val="0"/>
          <c:showPercent val="0"/>
          <c:showBubbleSize val="0"/>
        </c:dLbls>
        <c:smooth val="0"/>
        <c:axId val="2105880496"/>
        <c:axId val="2105878336"/>
      </c:lineChart>
      <c:dateAx>
        <c:axId val="210588049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78336"/>
        <c:crosses val="autoZero"/>
        <c:auto val="1"/>
        <c:lblOffset val="100"/>
        <c:baseTimeUnit val="months"/>
      </c:dateAx>
      <c:valAx>
        <c:axId val="210587833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80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inflacion Trimestral ARGENTINA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86-45CF-AD13-255C971DB331}"/>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86-45CF-AD13-255C971DB331}"/>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86-45CF-AD13-255C971DB331}"/>
                </c:ext>
              </c:extLst>
            </c:dLbl>
            <c:dLbl>
              <c:idx val="28"/>
              <c:layout>
                <c:manualLayout>
                  <c:x val="-8.2027389474491224E-17"/>
                  <c:y val="-4.20361204467248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86-45CF-AD13-255C971DB331}"/>
                </c:ext>
              </c:extLst>
            </c:dLbl>
            <c:dLbl>
              <c:idx val="2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86-45CF-AD13-255C971DB331}"/>
                </c:ext>
              </c:extLst>
            </c:dLbl>
            <c:dLbl>
              <c:idx val="4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86-45CF-AD13-255C971DB331}"/>
                </c:ext>
              </c:extLst>
            </c:dLbl>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86-45CF-AD13-255C971DB331}"/>
                </c:ext>
              </c:extLst>
            </c:dLbl>
            <c:dLbl>
              <c:idx val="4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86-45CF-AD13-255C971DB331}"/>
                </c:ext>
              </c:extLst>
            </c:dLbl>
            <c:dLbl>
              <c:idx val="6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586-45CF-AD13-255C971DB3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[3]Macro!$F$2:$BO$2</c:f>
              <c:numCache>
                <c:formatCode>General</c:formatCode>
                <c:ptCount val="62"/>
                <c:pt idx="0">
                  <c:v>40268</c:v>
                </c:pt>
                <c:pt idx="1">
                  <c:v>40359</c:v>
                </c:pt>
                <c:pt idx="2">
                  <c:v>40451</c:v>
                </c:pt>
                <c:pt idx="3">
                  <c:v>40543</c:v>
                </c:pt>
                <c:pt idx="4">
                  <c:v>40633</c:v>
                </c:pt>
                <c:pt idx="5">
                  <c:v>40724</c:v>
                </c:pt>
                <c:pt idx="6">
                  <c:v>40816</c:v>
                </c:pt>
                <c:pt idx="7">
                  <c:v>40908</c:v>
                </c:pt>
                <c:pt idx="8">
                  <c:v>40999</c:v>
                </c:pt>
                <c:pt idx="9">
                  <c:v>41090</c:v>
                </c:pt>
                <c:pt idx="10">
                  <c:v>41182</c:v>
                </c:pt>
                <c:pt idx="11">
                  <c:v>41274</c:v>
                </c:pt>
                <c:pt idx="12">
                  <c:v>41364</c:v>
                </c:pt>
                <c:pt idx="13">
                  <c:v>41455</c:v>
                </c:pt>
                <c:pt idx="14">
                  <c:v>41547</c:v>
                </c:pt>
                <c:pt idx="15">
                  <c:v>41639</c:v>
                </c:pt>
                <c:pt idx="16">
                  <c:v>41729</c:v>
                </c:pt>
                <c:pt idx="17">
                  <c:v>41820</c:v>
                </c:pt>
                <c:pt idx="18">
                  <c:v>41912</c:v>
                </c:pt>
                <c:pt idx="19">
                  <c:v>42004</c:v>
                </c:pt>
                <c:pt idx="20">
                  <c:v>42094</c:v>
                </c:pt>
                <c:pt idx="21">
                  <c:v>42185</c:v>
                </c:pt>
                <c:pt idx="22">
                  <c:v>42277</c:v>
                </c:pt>
                <c:pt idx="23">
                  <c:v>42369</c:v>
                </c:pt>
                <c:pt idx="24">
                  <c:v>42460</c:v>
                </c:pt>
                <c:pt idx="25">
                  <c:v>42551</c:v>
                </c:pt>
                <c:pt idx="26">
                  <c:v>42643</c:v>
                </c:pt>
                <c:pt idx="27">
                  <c:v>42735</c:v>
                </c:pt>
                <c:pt idx="28">
                  <c:v>42825</c:v>
                </c:pt>
                <c:pt idx="29">
                  <c:v>42916</c:v>
                </c:pt>
                <c:pt idx="30">
                  <c:v>43008</c:v>
                </c:pt>
                <c:pt idx="31">
                  <c:v>43100</c:v>
                </c:pt>
                <c:pt idx="32">
                  <c:v>43190</c:v>
                </c:pt>
                <c:pt idx="33">
                  <c:v>43281</c:v>
                </c:pt>
                <c:pt idx="34">
                  <c:v>43373</c:v>
                </c:pt>
                <c:pt idx="35">
                  <c:v>43465</c:v>
                </c:pt>
                <c:pt idx="36">
                  <c:v>43555</c:v>
                </c:pt>
                <c:pt idx="37">
                  <c:v>43646</c:v>
                </c:pt>
                <c:pt idx="38">
                  <c:v>43738</c:v>
                </c:pt>
                <c:pt idx="39">
                  <c:v>43830</c:v>
                </c:pt>
                <c:pt idx="40">
                  <c:v>43921</c:v>
                </c:pt>
                <c:pt idx="41">
                  <c:v>44012</c:v>
                </c:pt>
                <c:pt idx="42">
                  <c:v>44104</c:v>
                </c:pt>
                <c:pt idx="43">
                  <c:v>44196</c:v>
                </c:pt>
                <c:pt idx="44">
                  <c:v>44286</c:v>
                </c:pt>
                <c:pt idx="45">
                  <c:v>44377</c:v>
                </c:pt>
                <c:pt idx="46">
                  <c:v>44469</c:v>
                </c:pt>
                <c:pt idx="47">
                  <c:v>44561</c:v>
                </c:pt>
                <c:pt idx="48">
                  <c:v>44651</c:v>
                </c:pt>
                <c:pt idx="49">
                  <c:v>44742</c:v>
                </c:pt>
                <c:pt idx="50">
                  <c:v>44834</c:v>
                </c:pt>
                <c:pt idx="51">
                  <c:v>44926</c:v>
                </c:pt>
                <c:pt idx="52">
                  <c:v>45016</c:v>
                </c:pt>
                <c:pt idx="53">
                  <c:v>45107</c:v>
                </c:pt>
                <c:pt idx="54">
                  <c:v>45199</c:v>
                </c:pt>
                <c:pt idx="55">
                  <c:v>45291</c:v>
                </c:pt>
                <c:pt idx="56">
                  <c:v>45382</c:v>
                </c:pt>
                <c:pt idx="57">
                  <c:v>45473</c:v>
                </c:pt>
                <c:pt idx="58">
                  <c:v>45565</c:v>
                </c:pt>
                <c:pt idx="59">
                  <c:v>45657</c:v>
                </c:pt>
                <c:pt idx="60">
                  <c:v>45747</c:v>
                </c:pt>
                <c:pt idx="61">
                  <c:v>45838</c:v>
                </c:pt>
              </c:numCache>
            </c:numRef>
          </c:cat>
          <c:val>
            <c:numRef>
              <c:f>[3]Macro!$F$20:$BO$20</c:f>
              <c:numCache>
                <c:formatCode>General</c:formatCode>
                <c:ptCount val="62"/>
                <c:pt idx="0">
                  <c:v>7.7706740131035623E-2</c:v>
                </c:pt>
                <c:pt idx="1">
                  <c:v>3.711028219462853E-2</c:v>
                </c:pt>
                <c:pt idx="2">
                  <c:v>4.7694638667892253E-2</c:v>
                </c:pt>
                <c:pt idx="3">
                  <c:v>4.9715337090813883E-2</c:v>
                </c:pt>
                <c:pt idx="4">
                  <c:v>5.6477277516836955E-2</c:v>
                </c:pt>
                <c:pt idx="5">
                  <c:v>4.6153770290300988E-2</c:v>
                </c:pt>
                <c:pt idx="6">
                  <c:v>5.1020922738755248E-2</c:v>
                </c:pt>
                <c:pt idx="7">
                  <c:v>4.3695526760997305E-2</c:v>
                </c:pt>
                <c:pt idx="8">
                  <c:v>6.2174920142764378E-2</c:v>
                </c:pt>
                <c:pt idx="9">
                  <c:v>4.8217584968295091E-2</c:v>
                </c:pt>
                <c:pt idx="10">
                  <c:v>5.6785867172653548E-2</c:v>
                </c:pt>
                <c:pt idx="11">
                  <c:v>5.2996541573487432E-2</c:v>
                </c:pt>
                <c:pt idx="12">
                  <c:v>5.2678172916810428E-2</c:v>
                </c:pt>
                <c:pt idx="13">
                  <c:v>5.0617317192603872E-2</c:v>
                </c:pt>
                <c:pt idx="14">
                  <c:v>6.8180142994029636E-2</c:v>
                </c:pt>
                <c:pt idx="15">
                  <c:v>6.9969638421198077E-2</c:v>
                </c:pt>
                <c:pt idx="16">
                  <c:v>0.13375467560944143</c:v>
                </c:pt>
                <c:pt idx="17">
                  <c:v>8.1626848691694898E-2</c:v>
                </c:pt>
                <c:pt idx="18">
                  <c:v>6.8998159347883226E-2</c:v>
                </c:pt>
                <c:pt idx="19">
                  <c:v>5.2983716239484391E-2</c:v>
                </c:pt>
                <c:pt idx="20">
                  <c:v>5.1579144085217798E-2</c:v>
                </c:pt>
                <c:pt idx="21">
                  <c:v>6.0467389372667268E-2</c:v>
                </c:pt>
                <c:pt idx="22">
                  <c:v>5.6307344254053593E-2</c:v>
                </c:pt>
                <c:pt idx="23">
                  <c:v>7.74997025344073E-2</c:v>
                </c:pt>
                <c:pt idx="24">
                  <c:v>0.11863658114624398</c:v>
                </c:pt>
                <c:pt idx="25">
                  <c:v>0.14461416446199404</c:v>
                </c:pt>
                <c:pt idx="26">
                  <c:v>3.3282440000000024E-2</c:v>
                </c:pt>
                <c:pt idx="27">
                  <c:v>5.2868608000000039E-2</c:v>
                </c:pt>
                <c:pt idx="28">
                  <c:v>6.2232064000000031E-2</c:v>
                </c:pt>
                <c:pt idx="29">
                  <c:v>5.3874535999999917E-2</c:v>
                </c:pt>
                <c:pt idx="30">
                  <c:v>5.083152199999974E-2</c:v>
                </c:pt>
                <c:pt idx="31">
                  <c:v>6.1115509999999817E-2</c:v>
                </c:pt>
                <c:pt idx="32">
                  <c:v>6.6407936000000056E-2</c:v>
                </c:pt>
                <c:pt idx="33">
                  <c:v>8.7363978999999814E-2</c:v>
                </c:pt>
                <c:pt idx="34">
                  <c:v>0.14083758499999965</c:v>
                </c:pt>
                <c:pt idx="35">
                  <c:v>0.11600892800000029</c:v>
                </c:pt>
                <c:pt idx="36">
                  <c:v>0.11830279399999988</c:v>
                </c:pt>
                <c:pt idx="37">
                  <c:v>9.4837457999999986E-2</c:v>
                </c:pt>
                <c:pt idx="38">
                  <c:v>0.12558991999999991</c:v>
                </c:pt>
                <c:pt idx="39">
                  <c:v>0.11718103346340314</c:v>
                </c:pt>
                <c:pt idx="40">
                  <c:v>7.8005927180355705E-2</c:v>
                </c:pt>
                <c:pt idx="41">
                  <c:v>5.37391588937981E-2</c:v>
                </c:pt>
                <c:pt idx="42">
                  <c:v>7.6559927943597117E-2</c:v>
                </c:pt>
                <c:pt idx="43">
                  <c:v>0.11326524724482145</c:v>
                </c:pt>
                <c:pt idx="44">
                  <c:v>0.12954804602467096</c:v>
                </c:pt>
                <c:pt idx="45">
                  <c:v>0.1095051276756831</c:v>
                </c:pt>
                <c:pt idx="46">
                  <c:v>9.2845326716294307E-2</c:v>
                </c:pt>
                <c:pt idx="47">
                  <c:v>0.10210028382213809</c:v>
                </c:pt>
                <c:pt idx="48">
                  <c:v>0.16069773031624468</c:v>
                </c:pt>
                <c:pt idx="49">
                  <c:v>0.17301718782356601</c:v>
                </c:pt>
                <c:pt idx="50">
                  <c:v>0.21976469994829961</c:v>
                </c:pt>
                <c:pt idx="51">
                  <c:v>0.17293318584528228</c:v>
                </c:pt>
                <c:pt idx="52">
                  <c:v>0.21732079429573692</c:v>
                </c:pt>
                <c:pt idx="53">
                  <c:v>0.23780735034318967</c:v>
                </c:pt>
                <c:pt idx="54">
                  <c:v>0.3482139201338319</c:v>
                </c:pt>
                <c:pt idx="55">
                  <c:v>0.53289051246897934</c:v>
                </c:pt>
                <c:pt idx="56">
                  <c:v>0.51621905416917868</c:v>
                </c:pt>
                <c:pt idx="57">
                  <c:v>0.18566423188708803</c:v>
                </c:pt>
                <c:pt idx="58">
                  <c:v>0.12131063918220453</c:v>
                </c:pt>
                <c:pt idx="59">
                  <c:v>8.0279518803073158E-2</c:v>
                </c:pt>
                <c:pt idx="60">
                  <c:v>8.5691336507230931E-2</c:v>
                </c:pt>
                <c:pt idx="61">
                  <c:v>6.0125794294962898E-2</c:v>
                </c:pt>
              </c:numCache>
            </c:numRef>
          </c:val>
          <c:extLst>
            <c:ext xmlns:c16="http://schemas.microsoft.com/office/drawing/2014/chart" uri="{C3380CC4-5D6E-409C-BE32-E72D297353CC}">
              <c16:uniqueId val="{00000009-9586-45CF-AD13-255C971DB331}"/>
            </c:ext>
          </c:extLst>
        </c:ser>
        <c:dLbls>
          <c:showLegendKey val="0"/>
          <c:showVal val="0"/>
          <c:showCatName val="0"/>
          <c:showSerName val="0"/>
          <c:showPercent val="0"/>
          <c:showBubbleSize val="0"/>
        </c:dLbls>
        <c:gapWidth val="219"/>
        <c:overlap val="-27"/>
        <c:axId val="784344912"/>
        <c:axId val="784357392"/>
      </c:barChart>
      <c:catAx>
        <c:axId val="784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57392"/>
        <c:crosses val="autoZero"/>
        <c:auto val="0"/>
        <c:lblAlgn val="ctr"/>
        <c:lblOffset val="100"/>
        <c:noMultiLvlLbl val="0"/>
      </c:catAx>
      <c:valAx>
        <c:axId val="78435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inflacion Trimestral ARGENTINA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85-4A3B-BF45-07C27B507DA5}"/>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85-4A3B-BF45-07C27B507DA5}"/>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85-4A3B-BF45-07C27B507DA5}"/>
                </c:ext>
              </c:extLst>
            </c:dLbl>
            <c:dLbl>
              <c:idx val="28"/>
              <c:layout>
                <c:manualLayout>
                  <c:x val="-8.2027389474491224E-17"/>
                  <c:y val="-4.20361204467248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85-4A3B-BF45-07C27B507DA5}"/>
                </c:ext>
              </c:extLst>
            </c:dLbl>
            <c:dLbl>
              <c:idx val="2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85-4A3B-BF45-07C27B507DA5}"/>
                </c:ext>
              </c:extLst>
            </c:dLbl>
            <c:dLbl>
              <c:idx val="4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85-4A3B-BF45-07C27B507DA5}"/>
                </c:ext>
              </c:extLst>
            </c:dLbl>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85-4A3B-BF45-07C27B507DA5}"/>
                </c:ext>
              </c:extLst>
            </c:dLbl>
            <c:dLbl>
              <c:idx val="4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85-4A3B-BF45-07C27B507DA5}"/>
                </c:ext>
              </c:extLst>
            </c:dLbl>
            <c:dLbl>
              <c:idx val="6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85-4A3B-BF45-07C27B507D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[3]Macro!$F$2:$BO$2</c:f>
              <c:numCache>
                <c:formatCode>General</c:formatCode>
                <c:ptCount val="62"/>
                <c:pt idx="0">
                  <c:v>40268</c:v>
                </c:pt>
                <c:pt idx="1">
                  <c:v>40359</c:v>
                </c:pt>
                <c:pt idx="2">
                  <c:v>40451</c:v>
                </c:pt>
                <c:pt idx="3">
                  <c:v>40543</c:v>
                </c:pt>
                <c:pt idx="4">
                  <c:v>40633</c:v>
                </c:pt>
                <c:pt idx="5">
                  <c:v>40724</c:v>
                </c:pt>
                <c:pt idx="6">
                  <c:v>40816</c:v>
                </c:pt>
                <c:pt idx="7">
                  <c:v>40908</c:v>
                </c:pt>
                <c:pt idx="8">
                  <c:v>40999</c:v>
                </c:pt>
                <c:pt idx="9">
                  <c:v>41090</c:v>
                </c:pt>
                <c:pt idx="10">
                  <c:v>41182</c:v>
                </c:pt>
                <c:pt idx="11">
                  <c:v>41274</c:v>
                </c:pt>
                <c:pt idx="12">
                  <c:v>41364</c:v>
                </c:pt>
                <c:pt idx="13">
                  <c:v>41455</c:v>
                </c:pt>
                <c:pt idx="14">
                  <c:v>41547</c:v>
                </c:pt>
                <c:pt idx="15">
                  <c:v>41639</c:v>
                </c:pt>
                <c:pt idx="16">
                  <c:v>41729</c:v>
                </c:pt>
                <c:pt idx="17">
                  <c:v>41820</c:v>
                </c:pt>
                <c:pt idx="18">
                  <c:v>41912</c:v>
                </c:pt>
                <c:pt idx="19">
                  <c:v>42004</c:v>
                </c:pt>
                <c:pt idx="20">
                  <c:v>42094</c:v>
                </c:pt>
                <c:pt idx="21">
                  <c:v>42185</c:v>
                </c:pt>
                <c:pt idx="22">
                  <c:v>42277</c:v>
                </c:pt>
                <c:pt idx="23">
                  <c:v>42369</c:v>
                </c:pt>
                <c:pt idx="24">
                  <c:v>42460</c:v>
                </c:pt>
                <c:pt idx="25">
                  <c:v>42551</c:v>
                </c:pt>
                <c:pt idx="26">
                  <c:v>42643</c:v>
                </c:pt>
                <c:pt idx="27">
                  <c:v>42735</c:v>
                </c:pt>
                <c:pt idx="28">
                  <c:v>42825</c:v>
                </c:pt>
                <c:pt idx="29">
                  <c:v>42916</c:v>
                </c:pt>
                <c:pt idx="30">
                  <c:v>43008</c:v>
                </c:pt>
                <c:pt idx="31">
                  <c:v>43100</c:v>
                </c:pt>
                <c:pt idx="32">
                  <c:v>43190</c:v>
                </c:pt>
                <c:pt idx="33">
                  <c:v>43281</c:v>
                </c:pt>
                <c:pt idx="34">
                  <c:v>43373</c:v>
                </c:pt>
                <c:pt idx="35">
                  <c:v>43465</c:v>
                </c:pt>
                <c:pt idx="36">
                  <c:v>43555</c:v>
                </c:pt>
                <c:pt idx="37">
                  <c:v>43646</c:v>
                </c:pt>
                <c:pt idx="38">
                  <c:v>43738</c:v>
                </c:pt>
                <c:pt idx="39">
                  <c:v>43830</c:v>
                </c:pt>
                <c:pt idx="40">
                  <c:v>43921</c:v>
                </c:pt>
                <c:pt idx="41">
                  <c:v>44012</c:v>
                </c:pt>
                <c:pt idx="42">
                  <c:v>44104</c:v>
                </c:pt>
                <c:pt idx="43">
                  <c:v>44196</c:v>
                </c:pt>
                <c:pt idx="44">
                  <c:v>44286</c:v>
                </c:pt>
                <c:pt idx="45">
                  <c:v>44377</c:v>
                </c:pt>
                <c:pt idx="46">
                  <c:v>44469</c:v>
                </c:pt>
                <c:pt idx="47">
                  <c:v>44561</c:v>
                </c:pt>
                <c:pt idx="48">
                  <c:v>44651</c:v>
                </c:pt>
                <c:pt idx="49">
                  <c:v>44742</c:v>
                </c:pt>
                <c:pt idx="50">
                  <c:v>44834</c:v>
                </c:pt>
                <c:pt idx="51">
                  <c:v>44926</c:v>
                </c:pt>
                <c:pt idx="52">
                  <c:v>45016</c:v>
                </c:pt>
                <c:pt idx="53">
                  <c:v>45107</c:v>
                </c:pt>
                <c:pt idx="54">
                  <c:v>45199</c:v>
                </c:pt>
                <c:pt idx="55">
                  <c:v>45291</c:v>
                </c:pt>
                <c:pt idx="56">
                  <c:v>45382</c:v>
                </c:pt>
                <c:pt idx="57">
                  <c:v>45473</c:v>
                </c:pt>
                <c:pt idx="58">
                  <c:v>45565</c:v>
                </c:pt>
                <c:pt idx="59">
                  <c:v>45657</c:v>
                </c:pt>
                <c:pt idx="60">
                  <c:v>45747</c:v>
                </c:pt>
                <c:pt idx="61">
                  <c:v>45838</c:v>
                </c:pt>
              </c:numCache>
            </c:numRef>
          </c:cat>
          <c:val>
            <c:numRef>
              <c:f>[3]Macro!$F$20:$BO$20</c:f>
              <c:numCache>
                <c:formatCode>General</c:formatCode>
                <c:ptCount val="62"/>
                <c:pt idx="0">
                  <c:v>7.7706740131035623E-2</c:v>
                </c:pt>
                <c:pt idx="1">
                  <c:v>3.711028219462853E-2</c:v>
                </c:pt>
                <c:pt idx="2">
                  <c:v>4.7694638667892253E-2</c:v>
                </c:pt>
                <c:pt idx="3">
                  <c:v>4.9715337090813883E-2</c:v>
                </c:pt>
                <c:pt idx="4">
                  <c:v>5.6477277516836955E-2</c:v>
                </c:pt>
                <c:pt idx="5">
                  <c:v>4.6153770290300988E-2</c:v>
                </c:pt>
                <c:pt idx="6">
                  <c:v>5.1020922738755248E-2</c:v>
                </c:pt>
                <c:pt idx="7">
                  <c:v>4.3695526760997305E-2</c:v>
                </c:pt>
                <c:pt idx="8">
                  <c:v>6.2174920142764378E-2</c:v>
                </c:pt>
                <c:pt idx="9">
                  <c:v>4.8217584968295091E-2</c:v>
                </c:pt>
                <c:pt idx="10">
                  <c:v>5.6785867172653548E-2</c:v>
                </c:pt>
                <c:pt idx="11">
                  <c:v>5.2996541573487432E-2</c:v>
                </c:pt>
                <c:pt idx="12">
                  <c:v>5.2678172916810428E-2</c:v>
                </c:pt>
                <c:pt idx="13">
                  <c:v>5.0617317192603872E-2</c:v>
                </c:pt>
                <c:pt idx="14">
                  <c:v>6.8180142994029636E-2</c:v>
                </c:pt>
                <c:pt idx="15">
                  <c:v>6.9969638421198077E-2</c:v>
                </c:pt>
                <c:pt idx="16">
                  <c:v>0.13375467560944143</c:v>
                </c:pt>
                <c:pt idx="17">
                  <c:v>8.1626848691694898E-2</c:v>
                </c:pt>
                <c:pt idx="18">
                  <c:v>6.8998159347883226E-2</c:v>
                </c:pt>
                <c:pt idx="19">
                  <c:v>5.2983716239484391E-2</c:v>
                </c:pt>
                <c:pt idx="20">
                  <c:v>5.1579144085217798E-2</c:v>
                </c:pt>
                <c:pt idx="21">
                  <c:v>6.0467389372667268E-2</c:v>
                </c:pt>
                <c:pt idx="22">
                  <c:v>5.6307344254053593E-2</c:v>
                </c:pt>
                <c:pt idx="23">
                  <c:v>7.74997025344073E-2</c:v>
                </c:pt>
                <c:pt idx="24">
                  <c:v>0.11863658114624398</c:v>
                </c:pt>
                <c:pt idx="25">
                  <c:v>0.14461416446199404</c:v>
                </c:pt>
                <c:pt idx="26">
                  <c:v>3.3282440000000024E-2</c:v>
                </c:pt>
                <c:pt idx="27">
                  <c:v>5.2868608000000039E-2</c:v>
                </c:pt>
                <c:pt idx="28">
                  <c:v>6.2232064000000031E-2</c:v>
                </c:pt>
                <c:pt idx="29">
                  <c:v>5.3874535999999917E-2</c:v>
                </c:pt>
                <c:pt idx="30">
                  <c:v>5.083152199999974E-2</c:v>
                </c:pt>
                <c:pt idx="31">
                  <c:v>6.1115509999999817E-2</c:v>
                </c:pt>
                <c:pt idx="32">
                  <c:v>6.6407936000000056E-2</c:v>
                </c:pt>
                <c:pt idx="33">
                  <c:v>8.7363978999999814E-2</c:v>
                </c:pt>
                <c:pt idx="34">
                  <c:v>0.14083758499999965</c:v>
                </c:pt>
                <c:pt idx="35">
                  <c:v>0.11600892800000029</c:v>
                </c:pt>
                <c:pt idx="36">
                  <c:v>0.11830279399999988</c:v>
                </c:pt>
                <c:pt idx="37">
                  <c:v>9.4837457999999986E-2</c:v>
                </c:pt>
                <c:pt idx="38">
                  <c:v>0.12558991999999991</c:v>
                </c:pt>
                <c:pt idx="39">
                  <c:v>0.11718103346340314</c:v>
                </c:pt>
                <c:pt idx="40">
                  <c:v>7.8005927180355705E-2</c:v>
                </c:pt>
                <c:pt idx="41">
                  <c:v>5.37391588937981E-2</c:v>
                </c:pt>
                <c:pt idx="42">
                  <c:v>7.6559927943597117E-2</c:v>
                </c:pt>
                <c:pt idx="43">
                  <c:v>0.11326524724482145</c:v>
                </c:pt>
                <c:pt idx="44">
                  <c:v>0.12954804602467096</c:v>
                </c:pt>
                <c:pt idx="45">
                  <c:v>0.1095051276756831</c:v>
                </c:pt>
                <c:pt idx="46">
                  <c:v>9.2845326716294307E-2</c:v>
                </c:pt>
                <c:pt idx="47">
                  <c:v>0.10210028382213809</c:v>
                </c:pt>
                <c:pt idx="48">
                  <c:v>0.16069773031624468</c:v>
                </c:pt>
                <c:pt idx="49">
                  <c:v>0.17301718782356601</c:v>
                </c:pt>
                <c:pt idx="50">
                  <c:v>0.21976469994829961</c:v>
                </c:pt>
                <c:pt idx="51">
                  <c:v>0.17293318584528228</c:v>
                </c:pt>
                <c:pt idx="52">
                  <c:v>0.21732079429573692</c:v>
                </c:pt>
                <c:pt idx="53">
                  <c:v>0.23780735034318967</c:v>
                </c:pt>
                <c:pt idx="54">
                  <c:v>0.3482139201338319</c:v>
                </c:pt>
                <c:pt idx="55">
                  <c:v>0.53289051246897934</c:v>
                </c:pt>
                <c:pt idx="56">
                  <c:v>0.51621905416917868</c:v>
                </c:pt>
                <c:pt idx="57">
                  <c:v>0.18566423188708803</c:v>
                </c:pt>
                <c:pt idx="58">
                  <c:v>0.12131063918220453</c:v>
                </c:pt>
                <c:pt idx="59">
                  <c:v>8.0279518803073158E-2</c:v>
                </c:pt>
                <c:pt idx="60">
                  <c:v>8.5691336507230931E-2</c:v>
                </c:pt>
                <c:pt idx="61">
                  <c:v>6.0125794294962898E-2</c:v>
                </c:pt>
              </c:numCache>
            </c:numRef>
          </c:val>
          <c:extLst>
            <c:ext xmlns:c16="http://schemas.microsoft.com/office/drawing/2014/chart" uri="{C3380CC4-5D6E-409C-BE32-E72D297353CC}">
              <c16:uniqueId val="{00000009-C985-4A3B-BF45-07C27B507DA5}"/>
            </c:ext>
          </c:extLst>
        </c:ser>
        <c:dLbls>
          <c:showLegendKey val="0"/>
          <c:showVal val="0"/>
          <c:showCatName val="0"/>
          <c:showSerName val="0"/>
          <c:showPercent val="0"/>
          <c:showBubbleSize val="0"/>
        </c:dLbls>
        <c:gapWidth val="219"/>
        <c:overlap val="-27"/>
        <c:axId val="784344912"/>
        <c:axId val="784357392"/>
      </c:barChart>
      <c:catAx>
        <c:axId val="784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57392"/>
        <c:crosses val="autoZero"/>
        <c:auto val="0"/>
        <c:lblAlgn val="ctr"/>
        <c:lblOffset val="100"/>
        <c:noMultiLvlLbl val="0"/>
      </c:catAx>
      <c:valAx>
        <c:axId val="78435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7.xml"/><Relationship Id="rId13" Type="http://schemas.openxmlformats.org/officeDocument/2006/relationships/chart" Target="../charts/chart32.xml"/><Relationship Id="rId18" Type="http://schemas.openxmlformats.org/officeDocument/2006/relationships/chart" Target="../charts/chart37.xml"/><Relationship Id="rId3" Type="http://schemas.openxmlformats.org/officeDocument/2006/relationships/chart" Target="../charts/chart22.xml"/><Relationship Id="rId7" Type="http://schemas.openxmlformats.org/officeDocument/2006/relationships/chart" Target="../charts/chart26.xml"/><Relationship Id="rId12" Type="http://schemas.openxmlformats.org/officeDocument/2006/relationships/chart" Target="../charts/chart31.xml"/><Relationship Id="rId17" Type="http://schemas.openxmlformats.org/officeDocument/2006/relationships/chart" Target="../charts/chart36.xml"/><Relationship Id="rId2" Type="http://schemas.openxmlformats.org/officeDocument/2006/relationships/chart" Target="../charts/chart21.xml"/><Relationship Id="rId16" Type="http://schemas.openxmlformats.org/officeDocument/2006/relationships/chart" Target="../charts/chart35.xml"/><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5" Type="http://schemas.openxmlformats.org/officeDocument/2006/relationships/chart" Target="../charts/chart3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 Id="rId14" Type="http://schemas.openxmlformats.org/officeDocument/2006/relationships/chart" Target="../charts/chart3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xdr:col>
      <xdr:colOff>238125</xdr:colOff>
      <xdr:row>5</xdr:row>
      <xdr:rowOff>171450</xdr:rowOff>
    </xdr:from>
    <xdr:to>
      <xdr:col>8</xdr:col>
      <xdr:colOff>559490</xdr:colOff>
      <xdr:row>20</xdr:row>
      <xdr:rowOff>15323</xdr:rowOff>
    </xdr:to>
    <xdr:graphicFrame macro="">
      <xdr:nvGraphicFramePr>
        <xdr:cNvPr id="3" name="Chart 2">
          <a:extLst>
            <a:ext uri="{FF2B5EF4-FFF2-40B4-BE49-F238E27FC236}">
              <a16:creationId xmlns:a16="http://schemas.microsoft.com/office/drawing/2014/main" id="{ACA3414B-ABB0-45A6-80D5-8FFF68463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504825</xdr:colOff>
      <xdr:row>5</xdr:row>
      <xdr:rowOff>152400</xdr:rowOff>
    </xdr:from>
    <xdr:to>
      <xdr:col>17</xdr:col>
      <xdr:colOff>216590</xdr:colOff>
      <xdr:row>19</xdr:row>
      <xdr:rowOff>186773</xdr:rowOff>
    </xdr:to>
    <xdr:graphicFrame macro="">
      <xdr:nvGraphicFramePr>
        <xdr:cNvPr id="4" name="Chart 3">
          <a:extLst>
            <a:ext uri="{FF2B5EF4-FFF2-40B4-BE49-F238E27FC236}">
              <a16:creationId xmlns:a16="http://schemas.microsoft.com/office/drawing/2014/main" id="{42AB76F3-4174-462F-AE69-F2F9B9B65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8</xdr:col>
      <xdr:colOff>321365</xdr:colOff>
      <xdr:row>36</xdr:row>
      <xdr:rowOff>34373</xdr:rowOff>
    </xdr:to>
    <xdr:graphicFrame macro="">
      <xdr:nvGraphicFramePr>
        <xdr:cNvPr id="5" name="Chart 4">
          <a:extLst>
            <a:ext uri="{FF2B5EF4-FFF2-40B4-BE49-F238E27FC236}">
              <a16:creationId xmlns:a16="http://schemas.microsoft.com/office/drawing/2014/main" id="{E814DB04-A9EE-42C0-8C8B-F35DB32D3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495300</xdr:colOff>
      <xdr:row>22</xdr:row>
      <xdr:rowOff>104775</xdr:rowOff>
    </xdr:from>
    <xdr:to>
      <xdr:col>17</xdr:col>
      <xdr:colOff>207065</xdr:colOff>
      <xdr:row>36</xdr:row>
      <xdr:rowOff>139148</xdr:rowOff>
    </xdr:to>
    <xdr:graphicFrame macro="">
      <xdr:nvGraphicFramePr>
        <xdr:cNvPr id="6" name="Chart 5">
          <a:extLst>
            <a:ext uri="{FF2B5EF4-FFF2-40B4-BE49-F238E27FC236}">
              <a16:creationId xmlns:a16="http://schemas.microsoft.com/office/drawing/2014/main" id="{E328B7CE-82EB-4654-8EC5-C6B36E4C8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457200</xdr:colOff>
      <xdr:row>6</xdr:row>
      <xdr:rowOff>0</xdr:rowOff>
    </xdr:from>
    <xdr:to>
      <xdr:col>25</xdr:col>
      <xdr:colOff>152400</xdr:colOff>
      <xdr:row>20</xdr:row>
      <xdr:rowOff>76200</xdr:rowOff>
    </xdr:to>
    <xdr:graphicFrame macro="">
      <xdr:nvGraphicFramePr>
        <xdr:cNvPr id="7" name="Chart 6">
          <a:extLst>
            <a:ext uri="{FF2B5EF4-FFF2-40B4-BE49-F238E27FC236}">
              <a16:creationId xmlns:a16="http://schemas.microsoft.com/office/drawing/2014/main" id="{8046A24B-5F93-4F21-8A31-7ED2DC613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22</xdr:row>
      <xdr:rowOff>0</xdr:rowOff>
    </xdr:from>
    <xdr:to>
      <xdr:col>25</xdr:col>
      <xdr:colOff>304800</xdr:colOff>
      <xdr:row>36</xdr:row>
      <xdr:rowOff>76200</xdr:rowOff>
    </xdr:to>
    <xdr:graphicFrame macro="">
      <xdr:nvGraphicFramePr>
        <xdr:cNvPr id="8" name="Chart 7">
          <a:extLst>
            <a:ext uri="{FF2B5EF4-FFF2-40B4-BE49-F238E27FC236}">
              <a16:creationId xmlns:a16="http://schemas.microsoft.com/office/drawing/2014/main" id="{44827757-0B1C-4E70-B325-92329E7E5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0</xdr:colOff>
      <xdr:row>22</xdr:row>
      <xdr:rowOff>0</xdr:rowOff>
    </xdr:from>
    <xdr:to>
      <xdr:col>33</xdr:col>
      <xdr:colOff>304800</xdr:colOff>
      <xdr:row>36</xdr:row>
      <xdr:rowOff>76200</xdr:rowOff>
    </xdr:to>
    <xdr:graphicFrame macro="">
      <xdr:nvGraphicFramePr>
        <xdr:cNvPr id="9" name="Chart 8">
          <a:extLst>
            <a:ext uri="{FF2B5EF4-FFF2-40B4-BE49-F238E27FC236}">
              <a16:creationId xmlns:a16="http://schemas.microsoft.com/office/drawing/2014/main" id="{1D95C857-CF29-4595-838C-146FB4911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0</xdr:colOff>
      <xdr:row>6</xdr:row>
      <xdr:rowOff>0</xdr:rowOff>
    </xdr:from>
    <xdr:to>
      <xdr:col>33</xdr:col>
      <xdr:colOff>304800</xdr:colOff>
      <xdr:row>20</xdr:row>
      <xdr:rowOff>76200</xdr:rowOff>
    </xdr:to>
    <xdr:graphicFrame macro="">
      <xdr:nvGraphicFramePr>
        <xdr:cNvPr id="10" name="Chart 9">
          <a:extLst>
            <a:ext uri="{FF2B5EF4-FFF2-40B4-BE49-F238E27FC236}">
              <a16:creationId xmlns:a16="http://schemas.microsoft.com/office/drawing/2014/main" id="{3731D022-E463-4D05-ABA0-21E53A250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38</xdr:row>
      <xdr:rowOff>0</xdr:rowOff>
    </xdr:from>
    <xdr:to>
      <xdr:col>25</xdr:col>
      <xdr:colOff>304800</xdr:colOff>
      <xdr:row>52</xdr:row>
      <xdr:rowOff>76200</xdr:rowOff>
    </xdr:to>
    <xdr:graphicFrame macro="">
      <xdr:nvGraphicFramePr>
        <xdr:cNvPr id="11" name="Chart 10">
          <a:extLst>
            <a:ext uri="{FF2B5EF4-FFF2-40B4-BE49-F238E27FC236}">
              <a16:creationId xmlns:a16="http://schemas.microsoft.com/office/drawing/2014/main" id="{B8ACA62C-D50B-450B-81DD-1B7B59FC9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42</xdr:col>
      <xdr:colOff>85731</xdr:colOff>
      <xdr:row>72</xdr:row>
      <xdr:rowOff>166687</xdr:rowOff>
    </xdr:from>
    <xdr:to>
      <xdr:col>49</xdr:col>
      <xdr:colOff>400056</xdr:colOff>
      <xdr:row>86</xdr:row>
      <xdr:rowOff>109537</xdr:rowOff>
    </xdr:to>
    <xdr:graphicFrame macro="">
      <xdr:nvGraphicFramePr>
        <xdr:cNvPr id="14" name="Chart 1">
          <a:extLst>
            <a:ext uri="{FF2B5EF4-FFF2-40B4-BE49-F238E27FC236}">
              <a16:creationId xmlns:a16="http://schemas.microsoft.com/office/drawing/2014/main" id="{5D65884A-F75D-4717-83EF-D4435102B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88</xdr:row>
      <xdr:rowOff>0</xdr:rowOff>
    </xdr:from>
    <xdr:to>
      <xdr:col>49</xdr:col>
      <xdr:colOff>314325</xdr:colOff>
      <xdr:row>101</xdr:row>
      <xdr:rowOff>142875</xdr:rowOff>
    </xdr:to>
    <xdr:graphicFrame macro="">
      <xdr:nvGraphicFramePr>
        <xdr:cNvPr id="19" name="Chart 2">
          <a:extLst>
            <a:ext uri="{FF2B5EF4-FFF2-40B4-BE49-F238E27FC236}">
              <a16:creationId xmlns:a16="http://schemas.microsoft.com/office/drawing/2014/main" id="{A338FB32-422D-46B4-BC24-2A67EEBF37A8}"/>
            </a:ext>
            <a:ext uri="{147F2762-F138-4A5C-976F-8EAC2B608ADB}">
              <a16:predDERef xmlns:a16="http://schemas.microsoft.com/office/drawing/2014/main" pred="{5D65884A-F75D-4717-83EF-D4435102B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623887</xdr:colOff>
      <xdr:row>102</xdr:row>
      <xdr:rowOff>157162</xdr:rowOff>
    </xdr:from>
    <xdr:to>
      <xdr:col>49</xdr:col>
      <xdr:colOff>280987</xdr:colOff>
      <xdr:row>116</xdr:row>
      <xdr:rowOff>100012</xdr:rowOff>
    </xdr:to>
    <xdr:graphicFrame macro="">
      <xdr:nvGraphicFramePr>
        <xdr:cNvPr id="22" name="Chart 3">
          <a:extLst>
            <a:ext uri="{FF2B5EF4-FFF2-40B4-BE49-F238E27FC236}">
              <a16:creationId xmlns:a16="http://schemas.microsoft.com/office/drawing/2014/main" id="{0B59F2D8-E651-43EF-A26B-F660814DF51B}"/>
            </a:ext>
            <a:ext uri="{147F2762-F138-4A5C-976F-8EAC2B608ADB}">
              <a16:predDERef xmlns:a16="http://schemas.microsoft.com/office/drawing/2014/main" pred="{A338FB32-422D-46B4-BC24-2A67EEBF3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285750</xdr:colOff>
      <xdr:row>79</xdr:row>
      <xdr:rowOff>76200</xdr:rowOff>
    </xdr:from>
    <xdr:to>
      <xdr:col>37</xdr:col>
      <xdr:colOff>628650</xdr:colOff>
      <xdr:row>93</xdr:row>
      <xdr:rowOff>19050</xdr:rowOff>
    </xdr:to>
    <xdr:graphicFrame macro="">
      <xdr:nvGraphicFramePr>
        <xdr:cNvPr id="34" name="Chart 4">
          <a:extLst>
            <a:ext uri="{FF2B5EF4-FFF2-40B4-BE49-F238E27FC236}">
              <a16:creationId xmlns:a16="http://schemas.microsoft.com/office/drawing/2014/main" id="{B7C880B8-0FE7-45CD-8C05-6D9C7A863541}"/>
            </a:ext>
            <a:ext uri="{147F2762-F138-4A5C-976F-8EAC2B608ADB}">
              <a16:predDERef xmlns:a16="http://schemas.microsoft.com/office/drawing/2014/main" pred="{0B59F2D8-E651-43EF-A26B-F660814DF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228600</xdr:colOff>
      <xdr:row>95</xdr:row>
      <xdr:rowOff>19050</xdr:rowOff>
    </xdr:from>
    <xdr:to>
      <xdr:col>37</xdr:col>
      <xdr:colOff>571500</xdr:colOff>
      <xdr:row>108</xdr:row>
      <xdr:rowOff>161925</xdr:rowOff>
    </xdr:to>
    <xdr:graphicFrame macro="">
      <xdr:nvGraphicFramePr>
        <xdr:cNvPr id="37" name="Chart 5">
          <a:extLst>
            <a:ext uri="{FF2B5EF4-FFF2-40B4-BE49-F238E27FC236}">
              <a16:creationId xmlns:a16="http://schemas.microsoft.com/office/drawing/2014/main" id="{68CE76F4-EE2E-4432-82B5-0B40AFA47B62}"/>
            </a:ext>
            <a:ext uri="{147F2762-F138-4A5C-976F-8EAC2B608ADB}">
              <a16:predDERef xmlns:a16="http://schemas.microsoft.com/office/drawing/2014/main" pred="{B7C880B8-0FE7-45CD-8C05-6D9C7A863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285750</xdr:colOff>
      <xdr:row>109</xdr:row>
      <xdr:rowOff>66675</xdr:rowOff>
    </xdr:from>
    <xdr:to>
      <xdr:col>37</xdr:col>
      <xdr:colOff>628650</xdr:colOff>
      <xdr:row>123</xdr:row>
      <xdr:rowOff>9525</xdr:rowOff>
    </xdr:to>
    <xdr:graphicFrame macro="">
      <xdr:nvGraphicFramePr>
        <xdr:cNvPr id="40" name="Chart 6">
          <a:extLst>
            <a:ext uri="{FF2B5EF4-FFF2-40B4-BE49-F238E27FC236}">
              <a16:creationId xmlns:a16="http://schemas.microsoft.com/office/drawing/2014/main" id="{D8A71DDA-F40B-4CB3-AB3D-8C89F7020835}"/>
            </a:ext>
            <a:ext uri="{147F2762-F138-4A5C-976F-8EAC2B608ADB}">
              <a16:predDERef xmlns:a16="http://schemas.microsoft.com/office/drawing/2014/main" pred="{68CE76F4-EE2E-4432-82B5-0B40AFA47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243840</xdr:colOff>
      <xdr:row>67</xdr:row>
      <xdr:rowOff>142875</xdr:rowOff>
    </xdr:from>
    <xdr:to>
      <xdr:col>25</xdr:col>
      <xdr:colOff>361950</xdr:colOff>
      <xdr:row>82</xdr:row>
      <xdr:rowOff>102870</xdr:rowOff>
    </xdr:to>
    <xdr:graphicFrame macro="">
      <xdr:nvGraphicFramePr>
        <xdr:cNvPr id="2" name="Chart 1">
          <a:extLst>
            <a:ext uri="{FF2B5EF4-FFF2-40B4-BE49-F238E27FC236}">
              <a16:creationId xmlns:a16="http://schemas.microsoft.com/office/drawing/2014/main" id="{39F6C3A8-0D19-4C4E-8B5A-82B2F1D7795D}"/>
            </a:ext>
            <a:ext uri="{147F2762-F138-4A5C-976F-8EAC2B608ADB}">
              <a16:predDERef xmlns:a16="http://schemas.microsoft.com/office/drawing/2014/main" pred="{D8A71DDA-F40B-4CB3-AB3D-8C89F7020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285750</xdr:colOff>
      <xdr:row>82</xdr:row>
      <xdr:rowOff>176212</xdr:rowOff>
    </xdr:from>
    <xdr:to>
      <xdr:col>24</xdr:col>
      <xdr:colOff>628650</xdr:colOff>
      <xdr:row>96</xdr:row>
      <xdr:rowOff>119062</xdr:rowOff>
    </xdr:to>
    <xdr:graphicFrame macro="">
      <xdr:nvGraphicFramePr>
        <xdr:cNvPr id="3" name="Chart 2">
          <a:extLst>
            <a:ext uri="{FF2B5EF4-FFF2-40B4-BE49-F238E27FC236}">
              <a16:creationId xmlns:a16="http://schemas.microsoft.com/office/drawing/2014/main" id="{40FC703D-7F9E-D5C0-B9F4-27D01175C47E}"/>
            </a:ext>
            <a:ext uri="{147F2762-F138-4A5C-976F-8EAC2B608ADB}">
              <a16:predDERef xmlns:a16="http://schemas.microsoft.com/office/drawing/2014/main" pred="{39F6C3A8-0D19-4C4E-8B5A-82B2F1D77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571500</xdr:colOff>
      <xdr:row>106</xdr:row>
      <xdr:rowOff>147637</xdr:rowOff>
    </xdr:from>
    <xdr:to>
      <xdr:col>19</xdr:col>
      <xdr:colOff>523875</xdr:colOff>
      <xdr:row>120</xdr:row>
      <xdr:rowOff>90487</xdr:rowOff>
    </xdr:to>
    <xdr:graphicFrame macro="">
      <xdr:nvGraphicFramePr>
        <xdr:cNvPr id="4" name="Chart 3">
          <a:extLst>
            <a:ext uri="{FF2B5EF4-FFF2-40B4-BE49-F238E27FC236}">
              <a16:creationId xmlns:a16="http://schemas.microsoft.com/office/drawing/2014/main" id="{877B11DC-B27B-4B77-4189-20B8FDA33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542925</xdr:colOff>
      <xdr:row>121</xdr:row>
      <xdr:rowOff>52387</xdr:rowOff>
    </xdr:from>
    <xdr:to>
      <xdr:col>19</xdr:col>
      <xdr:colOff>495300</xdr:colOff>
      <xdr:row>134</xdr:row>
      <xdr:rowOff>195262</xdr:rowOff>
    </xdr:to>
    <xdr:graphicFrame macro="">
      <xdr:nvGraphicFramePr>
        <xdr:cNvPr id="5" name="Chart 4">
          <a:extLst>
            <a:ext uri="{FF2B5EF4-FFF2-40B4-BE49-F238E27FC236}">
              <a16:creationId xmlns:a16="http://schemas.microsoft.com/office/drawing/2014/main" id="{428347A5-82B9-86E1-8FBC-61647201F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508357</xdr:colOff>
      <xdr:row>20</xdr:row>
      <xdr:rowOff>22859</xdr:rowOff>
    </xdr:from>
    <xdr:to>
      <xdr:col>12</xdr:col>
      <xdr:colOff>112226</xdr:colOff>
      <xdr:row>31</xdr:row>
      <xdr:rowOff>89052</xdr:rowOff>
    </xdr:to>
    <xdr:pic>
      <xdr:nvPicPr>
        <xdr:cNvPr id="4" name="Picture 1">
          <a:extLst>
            <a:ext uri="{FF2B5EF4-FFF2-40B4-BE49-F238E27FC236}">
              <a16:creationId xmlns:a16="http://schemas.microsoft.com/office/drawing/2014/main" id="{638A3E4D-0AC0-4F89-9609-13D309CD62E8}"/>
            </a:ext>
          </a:extLst>
        </xdr:cNvPr>
        <xdr:cNvPicPr>
          <a:picLocks noChangeAspect="1"/>
        </xdr:cNvPicPr>
      </xdr:nvPicPr>
      <xdr:blipFill>
        <a:blip xmlns:r="http://schemas.openxmlformats.org/officeDocument/2006/relationships" r:embed="rId1"/>
        <a:stretch>
          <a:fillRect/>
        </a:stretch>
      </xdr:blipFill>
      <xdr:spPr>
        <a:xfrm>
          <a:off x="4615537" y="3680459"/>
          <a:ext cx="3928219" cy="22569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142874</xdr:colOff>
      <xdr:row>40</xdr:row>
      <xdr:rowOff>57150</xdr:rowOff>
    </xdr:from>
    <xdr:to>
      <xdr:col>16</xdr:col>
      <xdr:colOff>1000125</xdr:colOff>
      <xdr:row>56</xdr:row>
      <xdr:rowOff>76199</xdr:rowOff>
    </xdr:to>
    <xdr:graphicFrame macro="">
      <xdr:nvGraphicFramePr>
        <xdr:cNvPr id="2" name="Chart 1">
          <a:extLst>
            <a:ext uri="{FF2B5EF4-FFF2-40B4-BE49-F238E27FC236}">
              <a16:creationId xmlns:a16="http://schemas.microsoft.com/office/drawing/2014/main" id="{92979F4C-74A5-4A69-B608-80EDE75BF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66675</xdr:colOff>
      <xdr:row>40</xdr:row>
      <xdr:rowOff>57149</xdr:rowOff>
    </xdr:from>
    <xdr:to>
      <xdr:col>21</xdr:col>
      <xdr:colOff>657225</xdr:colOff>
      <xdr:row>56</xdr:row>
      <xdr:rowOff>66674</xdr:rowOff>
    </xdr:to>
    <xdr:graphicFrame macro="">
      <xdr:nvGraphicFramePr>
        <xdr:cNvPr id="3" name="Chart 2">
          <a:extLst>
            <a:ext uri="{FF2B5EF4-FFF2-40B4-BE49-F238E27FC236}">
              <a16:creationId xmlns:a16="http://schemas.microsoft.com/office/drawing/2014/main" id="{9B317EAF-2538-42FC-5A42-E4276C3E68C5}"/>
            </a:ext>
            <a:ext uri="{147F2762-F138-4A5C-976F-8EAC2B608ADB}">
              <a16:predDERef xmlns:a16="http://schemas.microsoft.com/office/drawing/2014/main" pred="{92979F4C-74A5-4A69-B608-80EDE75BF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257175</xdr:colOff>
      <xdr:row>57</xdr:row>
      <xdr:rowOff>133350</xdr:rowOff>
    </xdr:from>
    <xdr:to>
      <xdr:col>17</xdr:col>
      <xdr:colOff>276225</xdr:colOff>
      <xdr:row>74</xdr:row>
      <xdr:rowOff>131279</xdr:rowOff>
    </xdr:to>
    <xdr:graphicFrame macro="">
      <xdr:nvGraphicFramePr>
        <xdr:cNvPr id="4" name="Chart 3">
          <a:extLst>
            <a:ext uri="{FF2B5EF4-FFF2-40B4-BE49-F238E27FC236}">
              <a16:creationId xmlns:a16="http://schemas.microsoft.com/office/drawing/2014/main" id="{FE7F4C12-AE06-4F72-8D8D-2A0E6AAB69A0}"/>
            </a:ext>
            <a:ext uri="{147F2762-F138-4A5C-976F-8EAC2B608ADB}">
              <a16:predDERef xmlns:a16="http://schemas.microsoft.com/office/drawing/2014/main" pred="{9B317EAF-2538-42FC-5A42-E4276C3E6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381000</xdr:colOff>
      <xdr:row>57</xdr:row>
      <xdr:rowOff>161925</xdr:rowOff>
    </xdr:from>
    <xdr:to>
      <xdr:col>22</xdr:col>
      <xdr:colOff>180975</xdr:colOff>
      <xdr:row>74</xdr:row>
      <xdr:rowOff>161925</xdr:rowOff>
    </xdr:to>
    <xdr:graphicFrame macro="">
      <xdr:nvGraphicFramePr>
        <xdr:cNvPr id="5" name="Chart 11">
          <a:extLst>
            <a:ext uri="{FF2B5EF4-FFF2-40B4-BE49-F238E27FC236}">
              <a16:creationId xmlns:a16="http://schemas.microsoft.com/office/drawing/2014/main" id="{171BB2A6-4286-4D4B-8CA5-4673C72B953E}"/>
            </a:ext>
            <a:ext uri="{147F2762-F138-4A5C-976F-8EAC2B608ADB}">
              <a16:predDERef xmlns:a16="http://schemas.microsoft.com/office/drawing/2014/main" pred="{FE7F4C12-AE06-4F72-8D8D-2A0E6AAB6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590550</xdr:colOff>
      <xdr:row>77</xdr:row>
      <xdr:rowOff>76200</xdr:rowOff>
    </xdr:from>
    <xdr:to>
      <xdr:col>16</xdr:col>
      <xdr:colOff>979487</xdr:colOff>
      <xdr:row>91</xdr:row>
      <xdr:rowOff>84267</xdr:rowOff>
    </xdr:to>
    <xdr:graphicFrame macro="">
      <xdr:nvGraphicFramePr>
        <xdr:cNvPr id="6" name="Chart 5">
          <a:extLst>
            <a:ext uri="{FF2B5EF4-FFF2-40B4-BE49-F238E27FC236}">
              <a16:creationId xmlns:a16="http://schemas.microsoft.com/office/drawing/2014/main" id="{D0504973-F0BC-47D6-A647-8EAFB37AEADD}"/>
            </a:ext>
            <a:ext uri="{147F2762-F138-4A5C-976F-8EAC2B608ADB}">
              <a16:predDERef xmlns:a16="http://schemas.microsoft.com/office/drawing/2014/main" pred="{171BB2A6-4286-4D4B-8CA5-4673C72B9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643670</xdr:colOff>
      <xdr:row>103</xdr:row>
      <xdr:rowOff>118110</xdr:rowOff>
    </xdr:from>
    <xdr:to>
      <xdr:col>16</xdr:col>
      <xdr:colOff>1032607</xdr:colOff>
      <xdr:row>118</xdr:row>
      <xdr:rowOff>74930</xdr:rowOff>
    </xdr:to>
    <xdr:graphicFrame macro="">
      <xdr:nvGraphicFramePr>
        <xdr:cNvPr id="7" name="Chart 6">
          <a:extLst>
            <a:ext uri="{FF2B5EF4-FFF2-40B4-BE49-F238E27FC236}">
              <a16:creationId xmlns:a16="http://schemas.microsoft.com/office/drawing/2014/main" id="{4660DB16-1591-4DAA-9972-FBCC05B85E83}"/>
            </a:ext>
            <a:ext uri="{147F2762-F138-4A5C-976F-8EAC2B608ADB}">
              <a16:predDERef xmlns:a16="http://schemas.microsoft.com/office/drawing/2014/main" pred="{D0504973-F0BC-47D6-A647-8EAFB37AE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620517</xdr:colOff>
      <xdr:row>91</xdr:row>
      <xdr:rowOff>157382</xdr:rowOff>
    </xdr:from>
    <xdr:to>
      <xdr:col>16</xdr:col>
      <xdr:colOff>1009454</xdr:colOff>
      <xdr:row>106</xdr:row>
      <xdr:rowOff>4005</xdr:rowOff>
    </xdr:to>
    <xdr:graphicFrame macro="">
      <xdr:nvGraphicFramePr>
        <xdr:cNvPr id="8" name="Chart 7">
          <a:extLst>
            <a:ext uri="{FF2B5EF4-FFF2-40B4-BE49-F238E27FC236}">
              <a16:creationId xmlns:a16="http://schemas.microsoft.com/office/drawing/2014/main" id="{665E2D78-703B-473E-93E1-29996F0C55BC}"/>
            </a:ext>
            <a:ext uri="{147F2762-F138-4A5C-976F-8EAC2B608ADB}">
              <a16:predDERef xmlns:a16="http://schemas.microsoft.com/office/drawing/2014/main" pred="{4660DB16-1591-4DAA-9972-FBCC05B85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762000</xdr:colOff>
      <xdr:row>101</xdr:row>
      <xdr:rowOff>76200</xdr:rowOff>
    </xdr:from>
    <xdr:to>
      <xdr:col>22</xdr:col>
      <xdr:colOff>103187</xdr:colOff>
      <xdr:row>116</xdr:row>
      <xdr:rowOff>177800</xdr:rowOff>
    </xdr:to>
    <xdr:graphicFrame macro="">
      <xdr:nvGraphicFramePr>
        <xdr:cNvPr id="9" name="Chart 4">
          <a:extLst>
            <a:ext uri="{FF2B5EF4-FFF2-40B4-BE49-F238E27FC236}">
              <a16:creationId xmlns:a16="http://schemas.microsoft.com/office/drawing/2014/main" id="{678337FC-82CE-4EB4-B4D0-B8A7724A4E93}"/>
            </a:ext>
            <a:ext uri="{147F2762-F138-4A5C-976F-8EAC2B608ADB}">
              <a16:predDERef xmlns:a16="http://schemas.microsoft.com/office/drawing/2014/main" pred="{665E2D78-703B-473E-93E1-29996F0C5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118</xdr:row>
      <xdr:rowOff>0</xdr:rowOff>
    </xdr:from>
    <xdr:to>
      <xdr:col>22</xdr:col>
      <xdr:colOff>388937</xdr:colOff>
      <xdr:row>133</xdr:row>
      <xdr:rowOff>114300</xdr:rowOff>
    </xdr:to>
    <xdr:graphicFrame macro="">
      <xdr:nvGraphicFramePr>
        <xdr:cNvPr id="10" name="Chart 9">
          <a:extLst>
            <a:ext uri="{FF2B5EF4-FFF2-40B4-BE49-F238E27FC236}">
              <a16:creationId xmlns:a16="http://schemas.microsoft.com/office/drawing/2014/main" id="{88F7E1B0-9CBB-408F-B044-344A25A9ADE6}"/>
            </a:ext>
            <a:ext uri="{147F2762-F138-4A5C-976F-8EAC2B608ADB}">
              <a16:predDERef xmlns:a16="http://schemas.microsoft.com/office/drawing/2014/main" pred="{678337FC-82CE-4EB4-B4D0-B8A7724A4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142874</xdr:colOff>
      <xdr:row>40</xdr:row>
      <xdr:rowOff>57150</xdr:rowOff>
    </xdr:from>
    <xdr:to>
      <xdr:col>5</xdr:col>
      <xdr:colOff>1000125</xdr:colOff>
      <xdr:row>56</xdr:row>
      <xdr:rowOff>76199</xdr:rowOff>
    </xdr:to>
    <xdr:graphicFrame macro="">
      <xdr:nvGraphicFramePr>
        <xdr:cNvPr id="11" name="Chart 10">
          <a:extLst>
            <a:ext uri="{FF2B5EF4-FFF2-40B4-BE49-F238E27FC236}">
              <a16:creationId xmlns:a16="http://schemas.microsoft.com/office/drawing/2014/main" id="{4BC6CB0E-3C1E-4E3E-B538-1E3A0FC3BAB9}"/>
            </a:ext>
            <a:ext uri="{147F2762-F138-4A5C-976F-8EAC2B608ADB}">
              <a16:predDERef xmlns:a16="http://schemas.microsoft.com/office/drawing/2014/main" pred="{88F7E1B0-9CBB-408F-B044-344A25A9A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590550</xdr:colOff>
      <xdr:row>77</xdr:row>
      <xdr:rowOff>76200</xdr:rowOff>
    </xdr:from>
    <xdr:to>
      <xdr:col>5</xdr:col>
      <xdr:colOff>979487</xdr:colOff>
      <xdr:row>91</xdr:row>
      <xdr:rowOff>84267</xdr:rowOff>
    </xdr:to>
    <xdr:graphicFrame macro="">
      <xdr:nvGraphicFramePr>
        <xdr:cNvPr id="13" name="Chart 12">
          <a:extLst>
            <a:ext uri="{FF2B5EF4-FFF2-40B4-BE49-F238E27FC236}">
              <a16:creationId xmlns:a16="http://schemas.microsoft.com/office/drawing/2014/main" id="{F1ADEC89-1216-44E9-84D9-52D40A8A4288}"/>
            </a:ext>
            <a:ext uri="{147F2762-F138-4A5C-976F-8EAC2B608ADB}">
              <a16:predDERef xmlns:a16="http://schemas.microsoft.com/office/drawing/2014/main" pred="{4BC6CB0E-3C1E-4E3E-B538-1E3A0FC3B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643670</xdr:colOff>
      <xdr:row>103</xdr:row>
      <xdr:rowOff>118110</xdr:rowOff>
    </xdr:from>
    <xdr:to>
      <xdr:col>5</xdr:col>
      <xdr:colOff>1032607</xdr:colOff>
      <xdr:row>118</xdr:row>
      <xdr:rowOff>74930</xdr:rowOff>
    </xdr:to>
    <xdr:graphicFrame macro="">
      <xdr:nvGraphicFramePr>
        <xdr:cNvPr id="14" name="Chart 13">
          <a:extLst>
            <a:ext uri="{FF2B5EF4-FFF2-40B4-BE49-F238E27FC236}">
              <a16:creationId xmlns:a16="http://schemas.microsoft.com/office/drawing/2014/main" id="{69E4EAE3-34BC-4378-A10A-6CE76C181522}"/>
            </a:ext>
            <a:ext uri="{147F2762-F138-4A5C-976F-8EAC2B608ADB}">
              <a16:predDERef xmlns:a16="http://schemas.microsoft.com/office/drawing/2014/main" pred="{F1ADEC89-1216-44E9-84D9-52D40A8A4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620517</xdr:colOff>
      <xdr:row>91</xdr:row>
      <xdr:rowOff>157382</xdr:rowOff>
    </xdr:from>
    <xdr:to>
      <xdr:col>5</xdr:col>
      <xdr:colOff>1009454</xdr:colOff>
      <xdr:row>106</xdr:row>
      <xdr:rowOff>4005</xdr:rowOff>
    </xdr:to>
    <xdr:graphicFrame macro="">
      <xdr:nvGraphicFramePr>
        <xdr:cNvPr id="15" name="Chart 14">
          <a:extLst>
            <a:ext uri="{FF2B5EF4-FFF2-40B4-BE49-F238E27FC236}">
              <a16:creationId xmlns:a16="http://schemas.microsoft.com/office/drawing/2014/main" id="{5A4393D1-C206-4603-BD6B-C274B58CA953}"/>
            </a:ext>
            <a:ext uri="{147F2762-F138-4A5C-976F-8EAC2B608ADB}">
              <a16:predDERef xmlns:a16="http://schemas.microsoft.com/office/drawing/2014/main" pred="{69E4EAE3-34BC-4378-A10A-6CE76C181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124</xdr:col>
      <xdr:colOff>509587</xdr:colOff>
      <xdr:row>29</xdr:row>
      <xdr:rowOff>85724</xdr:rowOff>
    </xdr:from>
    <xdr:to>
      <xdr:col>133</xdr:col>
      <xdr:colOff>266700</xdr:colOff>
      <xdr:row>46</xdr:row>
      <xdr:rowOff>114299</xdr:rowOff>
    </xdr:to>
    <xdr:graphicFrame macro="">
      <xdr:nvGraphicFramePr>
        <xdr:cNvPr id="16" name="Chart 15">
          <a:extLst>
            <a:ext uri="{FF2B5EF4-FFF2-40B4-BE49-F238E27FC236}">
              <a16:creationId xmlns:a16="http://schemas.microsoft.com/office/drawing/2014/main" id="{D2D57804-FDC2-68ED-DEF9-3619C8F3A99B}"/>
            </a:ext>
            <a:ext uri="{147F2762-F138-4A5C-976F-8EAC2B608ADB}">
              <a16:predDERef xmlns:a16="http://schemas.microsoft.com/office/drawing/2014/main" pred="{5A4393D1-C206-4603-BD6B-C274B58CA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116</xdr:col>
      <xdr:colOff>161925</xdr:colOff>
      <xdr:row>29</xdr:row>
      <xdr:rowOff>76200</xdr:rowOff>
    </xdr:from>
    <xdr:to>
      <xdr:col>124</xdr:col>
      <xdr:colOff>495300</xdr:colOff>
      <xdr:row>46</xdr:row>
      <xdr:rowOff>95250</xdr:rowOff>
    </xdr:to>
    <xdr:graphicFrame macro="">
      <xdr:nvGraphicFramePr>
        <xdr:cNvPr id="17" name="Chart 16">
          <a:extLst>
            <a:ext uri="{FF2B5EF4-FFF2-40B4-BE49-F238E27FC236}">
              <a16:creationId xmlns:a16="http://schemas.microsoft.com/office/drawing/2014/main" id="{9C11A249-94ED-4DC6-B44A-40823ECE34F5}"/>
            </a:ext>
            <a:ext uri="{147F2762-F138-4A5C-976F-8EAC2B608ADB}">
              <a16:predDERef xmlns:a16="http://schemas.microsoft.com/office/drawing/2014/main" pred="{D2D57804-FDC2-68ED-DEF9-3619C8F3A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134</xdr:col>
      <xdr:colOff>314324</xdr:colOff>
      <xdr:row>29</xdr:row>
      <xdr:rowOff>38100</xdr:rowOff>
    </xdr:from>
    <xdr:to>
      <xdr:col>142</xdr:col>
      <xdr:colOff>223837</xdr:colOff>
      <xdr:row>45</xdr:row>
      <xdr:rowOff>152400</xdr:rowOff>
    </xdr:to>
    <xdr:graphicFrame macro="">
      <xdr:nvGraphicFramePr>
        <xdr:cNvPr id="19" name="Chart 18">
          <a:extLst>
            <a:ext uri="{FF2B5EF4-FFF2-40B4-BE49-F238E27FC236}">
              <a16:creationId xmlns:a16="http://schemas.microsoft.com/office/drawing/2014/main" id="{182C4FA0-BF52-445B-B16F-5722963F920C}"/>
            </a:ext>
            <a:ext uri="{147F2762-F138-4A5C-976F-8EAC2B608ADB}">
              <a16:predDERef xmlns:a16="http://schemas.microsoft.com/office/drawing/2014/main" pred="{9C11A249-94ED-4DC6-B44A-40823ECE3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85725</xdr:colOff>
      <xdr:row>57</xdr:row>
      <xdr:rowOff>180975</xdr:rowOff>
    </xdr:from>
    <xdr:to>
      <xdr:col>5</xdr:col>
      <xdr:colOff>466725</xdr:colOff>
      <xdr:row>72</xdr:row>
      <xdr:rowOff>66675</xdr:rowOff>
    </xdr:to>
    <xdr:graphicFrame macro="">
      <xdr:nvGraphicFramePr>
        <xdr:cNvPr id="21" name="Chart 20">
          <a:extLst>
            <a:ext uri="{FF2B5EF4-FFF2-40B4-BE49-F238E27FC236}">
              <a16:creationId xmlns:a16="http://schemas.microsoft.com/office/drawing/2014/main" id="{DC335E7A-2198-4CCD-B083-8A8BF10326E7}"/>
            </a:ext>
            <a:ext uri="{147F2762-F138-4A5C-976F-8EAC2B608ADB}">
              <a16:predDERef xmlns:a16="http://schemas.microsoft.com/office/drawing/2014/main" pred="{182C4FA0-BF52-445B-B16F-5722963F9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0</xdr:colOff>
      <xdr:row>58</xdr:row>
      <xdr:rowOff>0</xdr:rowOff>
    </xdr:from>
    <xdr:to>
      <xdr:col>10</xdr:col>
      <xdr:colOff>381000</xdr:colOff>
      <xdr:row>72</xdr:row>
      <xdr:rowOff>76200</xdr:rowOff>
    </xdr:to>
    <xdr:graphicFrame macro="">
      <xdr:nvGraphicFramePr>
        <xdr:cNvPr id="22" name="Chart 21">
          <a:extLst>
            <a:ext uri="{FF2B5EF4-FFF2-40B4-BE49-F238E27FC236}">
              <a16:creationId xmlns:a16="http://schemas.microsoft.com/office/drawing/2014/main" id="{D0B8C1B1-B6F5-4450-86E7-2DC958EC8C67}"/>
            </a:ext>
            <a:ext uri="{147F2762-F138-4A5C-976F-8EAC2B608ADB}">
              <a16:predDERef xmlns:a16="http://schemas.microsoft.com/office/drawing/2014/main" pred="{DC335E7A-2198-4CCD-B083-8A8BF1032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66675</xdr:colOff>
      <xdr:row>7</xdr:row>
      <xdr:rowOff>100012</xdr:rowOff>
    </xdr:from>
    <xdr:to>
      <xdr:col>27</xdr:col>
      <xdr:colOff>85725</xdr:colOff>
      <xdr:row>36</xdr:row>
      <xdr:rowOff>104775</xdr:rowOff>
    </xdr:to>
    <xdr:graphicFrame macro="">
      <xdr:nvGraphicFramePr>
        <xdr:cNvPr id="2" name="Chart 1">
          <a:extLst>
            <a:ext uri="{FF2B5EF4-FFF2-40B4-BE49-F238E27FC236}">
              <a16:creationId xmlns:a16="http://schemas.microsoft.com/office/drawing/2014/main" id="{12E74975-7930-47E8-BACA-D0AA72DC6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7</xdr:row>
      <xdr:rowOff>100012</xdr:rowOff>
    </xdr:from>
    <xdr:to>
      <xdr:col>27</xdr:col>
      <xdr:colOff>85725</xdr:colOff>
      <xdr:row>36</xdr:row>
      <xdr:rowOff>104775</xdr:rowOff>
    </xdr:to>
    <xdr:graphicFrame macro="">
      <xdr:nvGraphicFramePr>
        <xdr:cNvPr id="3" name="Chart 2">
          <a:extLst>
            <a:ext uri="{FF2B5EF4-FFF2-40B4-BE49-F238E27FC236}">
              <a16:creationId xmlns:a16="http://schemas.microsoft.com/office/drawing/2014/main" id="{C4C3BBD3-FCD7-4D94-BCAB-B7DF16377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acro/Pulp%20Prices.xlsx" TargetMode="External"/><Relationship Id="rId2" Type="http://schemas.openxmlformats.org/officeDocument/2006/relationships/externalLinkPath" Target="https://fundamentainvestments-my.sharepoint.com/personal/sebastianl_fundamentainvestments_onmicrosoft_com/Documents/FAM/Research/Macro/Pulp%20Prices.xlsx" TargetMode="External"/><Relationship Id="rId1" Type="http://schemas.openxmlformats.org/officeDocument/2006/relationships/externalLinkPath" Target="/personal/sebastianl_fundamentainvestments_onmicrosoft_com/Documents/FAM/Research/Macro/Pulp%20Pric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RASIL/AMBEV/Archivos%20para%20el%20modelo/Copy%20of%20COSTS.xlsx" TargetMode="External"/><Relationship Id="rId2" Type="http://schemas.openxmlformats.org/officeDocument/2006/relationships/externalLinkPath" Target="https://fundamentainvestments-my.sharepoint.com/personal/sebastianl_fundamentainvestments_onmicrosoft_com/Documents/FAM/Research/BRASIL/AMBEV/Archivos%20para%20el%20modelo/Copy%20of%20COSTS.xlsx" TargetMode="External"/><Relationship Id="rId1" Type="http://schemas.openxmlformats.org/officeDocument/2006/relationships/externalLinkPath" Target="/personal/sebastianl_fundamentainvestments_onmicrosoft_com/Documents/FAM/Research/BRASIL/AMBEV/Archivos%20para%20el%20modelo/Copy%20of%20COST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Macro/Premisas%20Macro%20Modelos%20Latam.xlsx" TargetMode="External"/><Relationship Id="rId2" Type="http://schemas.openxmlformats.org/officeDocument/2006/relationships/externalLinkPath" Target="https://fundamentainvestments-my.sharepoint.com/personal/sebastianl_fundamentainvestments_onmicrosoft_com/Documents/FAM/Research/Macro/Premisas%20Macro%20Modelos%20Latam.xlsx" TargetMode="External"/><Relationship Id="rId1" Type="http://schemas.openxmlformats.org/officeDocument/2006/relationships/externalLinkPath" Target="/personal/sebastianl_fundamentainvestments_onmicrosoft_com/Documents/FAM/Research/Macro/Premisas%20Macro%20Modelos%20Lat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J25Ax3SIZk6Y0HhZ4gwbUfwtyu-W7WVOgIC8rYEdxvP0KBOj3RqpT61xA3yTYYhi" itemId="014KQZNOOS5UUF43MYE5DKHGNAOVZIMUOW">
      <xxl21:absoluteUrl r:id="rId2"/>
      <xxl21:relativeUrl r:id="rId3"/>
    </xxl21:alternateUrls>
    <sheetNames>
      <sheetName val=" FOEX px"/>
      <sheetName val="Estimados"/>
    </sheetNames>
    <sheetDataSet>
      <sheetData sheetId="0">
        <row r="17">
          <cell r="AJ17">
            <v>41364</v>
          </cell>
          <cell r="AL17">
            <v>661.33833333333325</v>
          </cell>
          <cell r="AM17">
            <v>665.94416666666666</v>
          </cell>
          <cell r="AN17">
            <v>787.6825</v>
          </cell>
          <cell r="AO17">
            <v>822.49416666666684</v>
          </cell>
        </row>
        <row r="18">
          <cell r="AJ18">
            <v>41455</v>
          </cell>
          <cell r="AL18">
            <v>695.39666666666665</v>
          </cell>
          <cell r="AM18">
            <v>694.12888888888892</v>
          </cell>
          <cell r="AN18">
            <v>810.80222222222221</v>
          </cell>
          <cell r="AO18">
            <v>847.41666666666663</v>
          </cell>
        </row>
        <row r="19">
          <cell r="AJ19">
            <v>41547</v>
          </cell>
          <cell r="AL19">
            <v>674.4153846153846</v>
          </cell>
          <cell r="AM19">
            <v>681.51384615384609</v>
          </cell>
          <cell r="AN19">
            <v>794.79076923076911</v>
          </cell>
          <cell r="AO19">
            <v>860.77076923076925</v>
          </cell>
        </row>
        <row r="20">
          <cell r="AJ20">
            <v>41639</v>
          </cell>
          <cell r="AL20">
            <v>658.42230769230753</v>
          </cell>
          <cell r="AM20">
            <v>723.02692307692314</v>
          </cell>
          <cell r="AN20">
            <v>770.21846153846138</v>
          </cell>
          <cell r="AO20">
            <v>892.7461538461539</v>
          </cell>
        </row>
        <row r="21">
          <cell r="AJ21">
            <v>41729</v>
          </cell>
          <cell r="AL21">
            <v>651.48333333333323</v>
          </cell>
          <cell r="AM21">
            <v>750.4908333333334</v>
          </cell>
          <cell r="AN21">
            <v>767.875</v>
          </cell>
          <cell r="AO21">
            <v>915.58416666666653</v>
          </cell>
        </row>
        <row r="22">
          <cell r="AJ22">
            <v>41820</v>
          </cell>
          <cell r="AL22">
            <v>603.255</v>
          </cell>
          <cell r="AM22">
            <v>736.45583333333332</v>
          </cell>
          <cell r="AN22">
            <v>751.04416666666668</v>
          </cell>
          <cell r="AO22">
            <v>924.41166666666652</v>
          </cell>
        </row>
        <row r="23">
          <cell r="AJ23">
            <v>41912</v>
          </cell>
          <cell r="AL23">
            <v>585.64857142857124</v>
          </cell>
          <cell r="AM23">
            <v>724.1049999999999</v>
          </cell>
          <cell r="AN23">
            <v>728.93214285714294</v>
          </cell>
          <cell r="AO23">
            <v>928.88714285714286</v>
          </cell>
        </row>
        <row r="24">
          <cell r="AJ24">
            <v>42004</v>
          </cell>
          <cell r="AL24">
            <v>598.77461538461534</v>
          </cell>
          <cell r="AM24">
            <v>719.22769230769222</v>
          </cell>
          <cell r="AN24">
            <v>735.19384615384615</v>
          </cell>
          <cell r="AO24">
            <v>932.33076923076908</v>
          </cell>
        </row>
        <row r="25">
          <cell r="AJ25">
            <v>42094</v>
          </cell>
          <cell r="AL25">
            <v>622.31153846153836</v>
          </cell>
          <cell r="AM25">
            <v>682.24615384615379</v>
          </cell>
          <cell r="AN25">
            <v>749.74692307692305</v>
          </cell>
          <cell r="AO25">
            <v>905.10307692307697</v>
          </cell>
        </row>
        <row r="26">
          <cell r="AJ26">
            <v>42185</v>
          </cell>
          <cell r="AL26">
            <v>653.56846153846163</v>
          </cell>
          <cell r="AM26">
            <v>665.66</v>
          </cell>
          <cell r="AN26">
            <v>781.47538461538466</v>
          </cell>
          <cell r="AO26">
            <v>854.61384615384623</v>
          </cell>
        </row>
        <row r="27">
          <cell r="AJ27">
            <v>42277</v>
          </cell>
          <cell r="AL27">
            <v>662.19214285714293</v>
          </cell>
          <cell r="AM27">
            <v>649.11357142857139</v>
          </cell>
          <cell r="AN27">
            <v>804.7007142857143</v>
          </cell>
          <cell r="AO27">
            <v>844.38142857142861</v>
          </cell>
        </row>
        <row r="28">
          <cell r="AJ28">
            <v>42369</v>
          </cell>
          <cell r="AL28">
            <v>621.68166666666673</v>
          </cell>
          <cell r="AM28">
            <v>614.34499999999991</v>
          </cell>
          <cell r="AN28">
            <v>801.59916666666675</v>
          </cell>
          <cell r="AO28">
            <v>818.01333333333332</v>
          </cell>
        </row>
        <row r="29">
          <cell r="AJ29">
            <v>42460</v>
          </cell>
          <cell r="AL29">
            <v>553.69384615384615</v>
          </cell>
          <cell r="AM29">
            <v>593.69692307692299</v>
          </cell>
          <cell r="AN29">
            <v>762.4307692307691</v>
          </cell>
          <cell r="AO29">
            <v>791.78307692307692</v>
          </cell>
        </row>
        <row r="30">
          <cell r="AJ30">
            <v>42551</v>
          </cell>
          <cell r="AL30">
            <v>500.21923076923082</v>
          </cell>
          <cell r="AM30">
            <v>608.20307692307699</v>
          </cell>
          <cell r="AN30">
            <v>693.27307692307681</v>
          </cell>
          <cell r="AO30">
            <v>796.43923076923068</v>
          </cell>
        </row>
        <row r="31">
          <cell r="AJ31">
            <v>42643</v>
          </cell>
          <cell r="AL31">
            <v>486.6615384615385</v>
          </cell>
          <cell r="AM31">
            <v>600.38615384615389</v>
          </cell>
          <cell r="AN31">
            <v>671.49076923076905</v>
          </cell>
          <cell r="AO31">
            <v>811.16076923076912</v>
          </cell>
        </row>
        <row r="32">
          <cell r="AJ32">
            <v>42735</v>
          </cell>
          <cell r="AL32">
            <v>494.68923076923068</v>
          </cell>
          <cell r="AM32">
            <v>592.89538461538461</v>
          </cell>
          <cell r="AN32">
            <v>655.10769230769233</v>
          </cell>
          <cell r="AO32">
            <v>808.88538461538462</v>
          </cell>
        </row>
        <row r="33">
          <cell r="AJ33">
            <v>42825</v>
          </cell>
          <cell r="AL33">
            <v>559.91384615384618</v>
          </cell>
          <cell r="AM33">
            <v>633.3738461538461</v>
          </cell>
          <cell r="AN33">
            <v>680.46769230769235</v>
          </cell>
          <cell r="AO33">
            <v>816.36461538461538</v>
          </cell>
        </row>
        <row r="34">
          <cell r="AJ34">
            <v>42916</v>
          </cell>
          <cell r="AL34">
            <v>618.16923076923081</v>
          </cell>
          <cell r="AM34">
            <v>644.88923076923072</v>
          </cell>
          <cell r="AN34">
            <v>782.79153846153838</v>
          </cell>
          <cell r="AO34">
            <v>860.14615384615399</v>
          </cell>
        </row>
        <row r="35">
          <cell r="AJ35">
            <v>43008</v>
          </cell>
          <cell r="AL35">
            <v>643.66384615384607</v>
          </cell>
          <cell r="AM35">
            <v>659.68461538461531</v>
          </cell>
          <cell r="AN35">
            <v>873.24461538461537</v>
          </cell>
          <cell r="AO35">
            <v>894.21384615384625</v>
          </cell>
        </row>
        <row r="36">
          <cell r="AJ36">
            <v>43100</v>
          </cell>
          <cell r="AL36">
            <v>724.14230769230755</v>
          </cell>
          <cell r="AM36">
            <v>831.18461538461531</v>
          </cell>
          <cell r="AN36">
            <v>941.09615384615381</v>
          </cell>
          <cell r="AO36">
            <v>952.95307692307688</v>
          </cell>
        </row>
        <row r="37">
          <cell r="AJ37">
            <v>43190</v>
          </cell>
          <cell r="AL37">
            <v>759.79769230769239</v>
          </cell>
          <cell r="AM37">
            <v>892.46538461538466</v>
          </cell>
          <cell r="AN37">
            <v>1009.0246153846155</v>
          </cell>
          <cell r="AO37">
            <v>1056.1299999999999</v>
          </cell>
        </row>
        <row r="38">
          <cell r="AJ38">
            <v>43281</v>
          </cell>
          <cell r="AL38">
            <v>769.04153846153849</v>
          </cell>
          <cell r="AM38">
            <v>892.57923076923066</v>
          </cell>
          <cell r="AN38">
            <v>1044.3807692307691</v>
          </cell>
          <cell r="AO38">
            <v>1159.2461538461539</v>
          </cell>
        </row>
        <row r="39">
          <cell r="AJ39">
            <v>43373</v>
          </cell>
          <cell r="AL39">
            <v>769.80076923076922</v>
          </cell>
          <cell r="AM39">
            <v>867.47692307692296</v>
          </cell>
          <cell r="AN39">
            <v>1050</v>
          </cell>
          <cell r="AO39">
            <v>1226.9084615384618</v>
          </cell>
        </row>
        <row r="40">
          <cell r="AJ40">
            <v>43465</v>
          </cell>
          <cell r="AL40">
            <v>741.04923076923069</v>
          </cell>
          <cell r="AM40">
            <v>826.70384615384603</v>
          </cell>
          <cell r="AN40">
            <v>1045.166923076923</v>
          </cell>
          <cell r="AO40">
            <v>1223.2953846153846</v>
          </cell>
        </row>
        <row r="41">
          <cell r="AJ41">
            <v>43555</v>
          </cell>
          <cell r="AL41">
            <v>668.27615384615376</v>
          </cell>
          <cell r="AM41">
            <v>702.39153846153829</v>
          </cell>
          <cell r="AN41">
            <v>994.79307692307702</v>
          </cell>
          <cell r="AO41">
            <v>1150.3907692307694</v>
          </cell>
        </row>
        <row r="42">
          <cell r="AJ42">
            <v>43646</v>
          </cell>
          <cell r="AL42">
            <v>648.01615384615377</v>
          </cell>
          <cell r="AM42">
            <v>672.36769230769232</v>
          </cell>
          <cell r="AN42">
            <v>938.30461538461532</v>
          </cell>
          <cell r="AO42">
            <v>1049.4100000000001</v>
          </cell>
        </row>
        <row r="43">
          <cell r="AJ43">
            <v>43738</v>
          </cell>
          <cell r="AL43">
            <v>494.50923076923078</v>
          </cell>
          <cell r="AM43">
            <v>570.28461538461534</v>
          </cell>
          <cell r="AN43">
            <v>815.20461538461541</v>
          </cell>
          <cell r="AO43">
            <v>917.09615384615404</v>
          </cell>
        </row>
        <row r="44">
          <cell r="AJ44">
            <v>43830</v>
          </cell>
          <cell r="AL44">
            <v>459.83</v>
          </cell>
          <cell r="AM44">
            <v>565.9186666666667</v>
          </cell>
          <cell r="AN44">
            <v>694.78266666666661</v>
          </cell>
          <cell r="AO44">
            <v>825.32600000000025</v>
          </cell>
        </row>
        <row r="45">
          <cell r="AJ45">
            <v>43921</v>
          </cell>
          <cell r="AL45">
            <v>461.42923076923074</v>
          </cell>
          <cell r="AM45">
            <v>570.62076923076938</v>
          </cell>
          <cell r="AN45">
            <v>680.00076923076927</v>
          </cell>
          <cell r="AO45">
            <v>826.93461538461531</v>
          </cell>
        </row>
        <row r="46">
          <cell r="AJ46">
            <v>44012</v>
          </cell>
          <cell r="AL46">
            <v>466.54230769230765</v>
          </cell>
          <cell r="AM46">
            <v>576.23</v>
          </cell>
          <cell r="AN46">
            <v>680.33384615384614</v>
          </cell>
          <cell r="AO46">
            <v>850.2223076923076</v>
          </cell>
        </row>
        <row r="47">
          <cell r="AJ47">
            <v>44104</v>
          </cell>
          <cell r="AL47">
            <v>444.36999999999995</v>
          </cell>
          <cell r="AM47">
            <v>570.14615384615388</v>
          </cell>
          <cell r="AN47">
            <v>680</v>
          </cell>
          <cell r="AO47">
            <v>841.22538461538466</v>
          </cell>
        </row>
        <row r="48">
          <cell r="AJ48">
            <v>44196</v>
          </cell>
          <cell r="AL48">
            <v>464.52571428571417</v>
          </cell>
          <cell r="AM48">
            <v>621.87714285714276</v>
          </cell>
          <cell r="AN48">
            <v>680</v>
          </cell>
          <cell r="AO48">
            <v>855.73928571428587</v>
          </cell>
        </row>
        <row r="49">
          <cell r="AJ49">
            <v>44286</v>
          </cell>
          <cell r="AL49">
            <v>610.10692307692307</v>
          </cell>
          <cell r="AM49">
            <v>826.7461538461539</v>
          </cell>
          <cell r="AN49">
            <v>752.95384615384614</v>
          </cell>
          <cell r="AO49">
            <v>950.74307692307673</v>
          </cell>
        </row>
        <row r="50">
          <cell r="AJ50">
            <v>44377</v>
          </cell>
          <cell r="AL50">
            <v>773.85769230769233</v>
          </cell>
          <cell r="AM50">
            <v>974.67153846153838</v>
          </cell>
          <cell r="AN50">
            <v>991.4484615384614</v>
          </cell>
          <cell r="AO50">
            <v>1176.5346153846153</v>
          </cell>
        </row>
        <row r="51">
          <cell r="AJ51">
            <v>44469</v>
          </cell>
          <cell r="AL51">
            <v>657.26384615384609</v>
          </cell>
          <cell r="AM51">
            <v>855.35615384615392</v>
          </cell>
          <cell r="AN51">
            <v>1134.8407692307692</v>
          </cell>
          <cell r="AO51">
            <v>1333.5592307692305</v>
          </cell>
        </row>
        <row r="52">
          <cell r="AJ52">
            <v>44561</v>
          </cell>
          <cell r="AL52">
            <v>569.05071428571432</v>
          </cell>
          <cell r="AM52">
            <v>749.7414285714284</v>
          </cell>
          <cell r="AN52">
            <v>1140</v>
          </cell>
          <cell r="AO52">
            <v>1309.4471428571428</v>
          </cell>
        </row>
        <row r="53">
          <cell r="AJ53">
            <v>44651</v>
          </cell>
          <cell r="AL53">
            <v>642.50916666666672</v>
          </cell>
          <cell r="AM53">
            <v>855.76583333333326</v>
          </cell>
          <cell r="AN53">
            <v>1149.2275000000002</v>
          </cell>
          <cell r="AO53">
            <v>1289.7958333333331</v>
          </cell>
        </row>
        <row r="54">
          <cell r="AJ54">
            <v>44742</v>
          </cell>
          <cell r="AL54">
            <v>802.88076923076915</v>
          </cell>
          <cell r="AM54">
            <v>984.37153846153842</v>
          </cell>
          <cell r="AN54">
            <v>1235.2846153846153</v>
          </cell>
          <cell r="AO54">
            <v>1373.7653846153846</v>
          </cell>
        </row>
        <row r="55">
          <cell r="AJ55">
            <v>44834</v>
          </cell>
          <cell r="AL55">
            <v>862.26857142857148</v>
          </cell>
          <cell r="AM55">
            <v>974.11857142857139</v>
          </cell>
          <cell r="AN55">
            <v>1364.0414285714287</v>
          </cell>
          <cell r="AO55">
            <v>1477.1399999999999</v>
          </cell>
        </row>
        <row r="56">
          <cell r="AJ56">
            <v>44925</v>
          </cell>
          <cell r="AL56">
            <v>858.16846153846154</v>
          </cell>
          <cell r="AM56">
            <v>918.53461538461545</v>
          </cell>
          <cell r="AN56">
            <v>1379.9892307692307</v>
          </cell>
          <cell r="AO56">
            <v>1463.3276923076921</v>
          </cell>
        </row>
        <row r="57">
          <cell r="AJ57">
            <v>45016</v>
          </cell>
          <cell r="AL57">
            <v>756.11769230769255</v>
          </cell>
          <cell r="AM57">
            <v>898.82692307692309</v>
          </cell>
          <cell r="AN57">
            <v>1337.2969230769231</v>
          </cell>
          <cell r="AO57">
            <v>1398.6238461538462</v>
          </cell>
        </row>
        <row r="58">
          <cell r="AJ58">
            <v>45107</v>
          </cell>
          <cell r="AL58">
            <v>518.40384615384608</v>
          </cell>
          <cell r="AM58">
            <v>706.83461538461529</v>
          </cell>
          <cell r="AN58">
            <v>1096.6100000000001</v>
          </cell>
          <cell r="AO58">
            <v>1306.8592307692306</v>
          </cell>
        </row>
        <row r="59">
          <cell r="AJ59">
            <v>45199</v>
          </cell>
          <cell r="AL59">
            <v>532.34230769230771</v>
          </cell>
          <cell r="AM59">
            <v>664.98153846153843</v>
          </cell>
          <cell r="AN59">
            <v>834.93999999999994</v>
          </cell>
          <cell r="AO59">
            <v>1175.0146153846156</v>
          </cell>
        </row>
        <row r="60">
          <cell r="AJ60">
            <v>45291</v>
          </cell>
          <cell r="AL60">
            <v>619.88076923076915</v>
          </cell>
          <cell r="AM60">
            <v>638.68153846153848</v>
          </cell>
          <cell r="AN60">
            <v>908.11461538461538</v>
          </cell>
          <cell r="AO60">
            <v>1191.4276923076923</v>
          </cell>
        </row>
        <row r="61">
          <cell r="AJ61">
            <v>45382</v>
          </cell>
          <cell r="AL61">
            <v>656.24416666666673</v>
          </cell>
          <cell r="AM61">
            <v>738.02333333333343</v>
          </cell>
          <cell r="AN61">
            <v>1111.7558333333334</v>
          </cell>
          <cell r="AO61">
            <v>1322.041666666667</v>
          </cell>
        </row>
        <row r="62">
          <cell r="AJ62">
            <v>45473</v>
          </cell>
          <cell r="AL62">
            <v>718.4</v>
          </cell>
          <cell r="AM62">
            <v>687.32642857142855</v>
          </cell>
          <cell r="AN62">
            <v>1344.4392857142855</v>
          </cell>
          <cell r="AO62">
            <v>1497.2428571428572</v>
          </cell>
        </row>
        <row r="63">
          <cell r="AJ63">
            <v>45565</v>
          </cell>
          <cell r="AL63">
            <v>641.57923076923078</v>
          </cell>
          <cell r="AM63">
            <v>773.17384615384617</v>
          </cell>
          <cell r="AN63">
            <v>1375.0138461538461</v>
          </cell>
          <cell r="AO63">
            <v>1605.4046153846155</v>
          </cell>
        </row>
        <row r="64">
          <cell r="AJ64">
            <v>45657</v>
          </cell>
          <cell r="AL64">
            <v>552.50076923076927</v>
          </cell>
          <cell r="AM64">
            <v>768.45846153846151</v>
          </cell>
          <cell r="AN64">
            <v>1106.1423076923077</v>
          </cell>
          <cell r="AO64">
            <v>1523.1123076923077</v>
          </cell>
        </row>
        <row r="65">
          <cell r="AJ65">
            <v>45747</v>
          </cell>
          <cell r="AL65">
            <v>528.83615384615382</v>
          </cell>
          <cell r="AM65">
            <v>791.52230769230778</v>
          </cell>
          <cell r="AN65">
            <v>1064.2823076923075</v>
          </cell>
          <cell r="AO65">
            <v>1500.5407692307695</v>
          </cell>
        </row>
        <row r="66">
          <cell r="AJ66">
            <v>45838</v>
          </cell>
          <cell r="AL66">
            <v>552.3561538461538</v>
          </cell>
          <cell r="AM66">
            <v>582.24076923076927</v>
          </cell>
          <cell r="AN66">
            <v>1175.4976923076922</v>
          </cell>
          <cell r="AO66">
            <v>1217.5630769230772</v>
          </cell>
        </row>
        <row r="67">
          <cell r="AJ67">
            <v>45930</v>
          </cell>
          <cell r="AL67">
            <v>503.11461538461538</v>
          </cell>
          <cell r="AM67">
            <v>0</v>
          </cell>
          <cell r="AN67">
            <v>1034.7623076923078</v>
          </cell>
          <cell r="AO67">
            <v>1194.5512690194423</v>
          </cell>
        </row>
        <row r="68">
          <cell r="AJ68">
            <v>46022</v>
          </cell>
          <cell r="AL68">
            <v>532.99076923076927</v>
          </cell>
          <cell r="AM68">
            <v>0</v>
          </cell>
          <cell r="AN68">
            <v>1076.8384615384616</v>
          </cell>
          <cell r="AO68">
            <v>1236.6274228655961</v>
          </cell>
        </row>
        <row r="69">
          <cell r="AJ69">
            <v>46112</v>
          </cell>
          <cell r="AL69">
            <v>578.37538461538452</v>
          </cell>
          <cell r="AM69">
            <v>0</v>
          </cell>
          <cell r="AN69">
            <v>1138.2123899067983</v>
          </cell>
          <cell r="AO69">
            <v>1298.0013512339328</v>
          </cell>
        </row>
        <row r="70">
          <cell r="AJ70">
            <v>46203</v>
          </cell>
          <cell r="AL70">
            <v>578.37538461538452</v>
          </cell>
          <cell r="AM70">
            <v>696.77381635672009</v>
          </cell>
          <cell r="AN70">
            <v>1110.1264701168091</v>
          </cell>
          <cell r="AO70">
            <v>1269.9154314439434</v>
          </cell>
        </row>
        <row r="71">
          <cell r="AJ71">
            <v>46295</v>
          </cell>
          <cell r="AL71">
            <v>578.37538461538452</v>
          </cell>
          <cell r="AM71">
            <v>696.77381635672009</v>
          </cell>
          <cell r="AN71">
            <v>1110.1264701168091</v>
          </cell>
          <cell r="AO71">
            <v>1269.9154314439434</v>
          </cell>
        </row>
        <row r="72">
          <cell r="AJ72">
            <v>46387</v>
          </cell>
          <cell r="AL72">
            <v>578.37538461538452</v>
          </cell>
          <cell r="AM72">
            <v>696.77381635672009</v>
          </cell>
          <cell r="AN72">
            <v>1110.1264701168091</v>
          </cell>
          <cell r="AO72">
            <v>1269.9154314439434</v>
          </cell>
        </row>
        <row r="73">
          <cell r="AJ73">
            <v>46477</v>
          </cell>
          <cell r="AL73">
            <v>578.37538461538452</v>
          </cell>
          <cell r="AM73">
            <v>696.77381635672009</v>
          </cell>
          <cell r="AN73">
            <v>1110.1264701168091</v>
          </cell>
          <cell r="AO73">
            <v>1269.9154314439434</v>
          </cell>
        </row>
        <row r="74">
          <cell r="AJ74">
            <v>46568</v>
          </cell>
          <cell r="AL74">
            <v>578.37538461538452</v>
          </cell>
          <cell r="AM74">
            <v>696.77381635672009</v>
          </cell>
          <cell r="AN74">
            <v>1110.1264701168091</v>
          </cell>
          <cell r="AO74">
            <v>1269.9154314439434</v>
          </cell>
        </row>
        <row r="75">
          <cell r="AJ75">
            <v>46660</v>
          </cell>
          <cell r="AL75">
            <v>578.37538461538452</v>
          </cell>
          <cell r="AM75">
            <v>696.77381635672009</v>
          </cell>
          <cell r="AN75">
            <v>1110.1264701168091</v>
          </cell>
          <cell r="AO75">
            <v>1269.9154314439434</v>
          </cell>
        </row>
        <row r="76">
          <cell r="AJ76">
            <v>46752</v>
          </cell>
          <cell r="AL76">
            <v>578.37538461538452</v>
          </cell>
          <cell r="AM76">
            <v>696.77381635672009</v>
          </cell>
          <cell r="AN76">
            <v>1110.1264701168091</v>
          </cell>
          <cell r="AO76">
            <v>1269.9154314439434</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J25Ax3SIZk6Y0HhZ4gwbUfwtyu-W7WVOgIC8rYEdxvP0KBOj3RqpT61xA3yTYYhi" itemId="014KQZNOPMZO26PIFC3BFZ3NEA6QVI6TQM">
      <xxl21:absoluteUrl r:id="rId2"/>
      <xxl21:relativeUrl r:id="rId3"/>
    </xxl21:alternateUrls>
    <sheetNames>
      <sheetName val="BBG"/>
      <sheetName val="Sheet1"/>
      <sheetName val="CERV VALOR"/>
      <sheetName val="SOFT DRINKS"/>
    </sheetNames>
    <sheetDataSet>
      <sheetData sheetId="0"/>
      <sheetData sheetId="1">
        <row r="50">
          <cell r="AI50">
            <v>85.029076923076929</v>
          </cell>
        </row>
        <row r="51">
          <cell r="AI51">
            <v>78.708484848484829</v>
          </cell>
        </row>
        <row r="52">
          <cell r="AI52">
            <v>74.005606060606056</v>
          </cell>
        </row>
        <row r="53">
          <cell r="AI53">
            <v>74.97218749999999</v>
          </cell>
        </row>
        <row r="54">
          <cell r="AI54">
            <v>66.731076923076927</v>
          </cell>
        </row>
        <row r="55">
          <cell r="AI55">
            <v>68.165000000000006</v>
          </cell>
        </row>
        <row r="56">
          <cell r="AI56">
            <v>63.06454545454546</v>
          </cell>
        </row>
      </sheetData>
      <sheetData sheetId="2">
        <row r="9">
          <cell r="AG9">
            <v>107.91718750000003</v>
          </cell>
        </row>
        <row r="10">
          <cell r="AG10">
            <v>109.7536923076923</v>
          </cell>
        </row>
        <row r="11">
          <cell r="AG11">
            <v>103.45621212121213</v>
          </cell>
        </row>
        <row r="12">
          <cell r="AG12">
            <v>76.815454545454543</v>
          </cell>
        </row>
        <row r="13">
          <cell r="AG13">
            <v>55.168750000000017</v>
          </cell>
        </row>
        <row r="14">
          <cell r="AG14">
            <v>63.371384615384621</v>
          </cell>
        </row>
        <row r="15">
          <cell r="AG15">
            <v>51.299545454545445</v>
          </cell>
        </row>
        <row r="16">
          <cell r="AG16">
            <v>44.587878787878793</v>
          </cell>
        </row>
        <row r="17">
          <cell r="AG17">
            <v>35.318153846153841</v>
          </cell>
        </row>
        <row r="18">
          <cell r="AG18">
            <v>47.027076923076905</v>
          </cell>
        </row>
        <row r="19">
          <cell r="AG19">
            <v>46.987575757575755</v>
          </cell>
        </row>
        <row r="20">
          <cell r="AG20">
            <v>51.127230769230756</v>
          </cell>
        </row>
        <row r="21">
          <cell r="AG21">
            <v>54.60830769230769</v>
          </cell>
        </row>
        <row r="22">
          <cell r="AG22">
            <v>50.870923076923063</v>
          </cell>
        </row>
        <row r="23">
          <cell r="AG23">
            <v>52.168307692307685</v>
          </cell>
        </row>
        <row r="24">
          <cell r="AG24">
            <v>61.514153846153853</v>
          </cell>
        </row>
        <row r="25">
          <cell r="AG25">
            <v>67.270615384615368</v>
          </cell>
        </row>
        <row r="26">
          <cell r="AG26">
            <v>74.968153846153868</v>
          </cell>
        </row>
        <row r="27">
          <cell r="AG27">
            <v>75.838307692307708</v>
          </cell>
        </row>
        <row r="28">
          <cell r="AG28">
            <v>68.323030303030322</v>
          </cell>
        </row>
        <row r="29">
          <cell r="AG29">
            <v>63.676718750000013</v>
          </cell>
        </row>
        <row r="30">
          <cell r="AG30">
            <v>68.521538461538441</v>
          </cell>
        </row>
        <row r="31">
          <cell r="AG31">
            <v>62.030454545454539</v>
          </cell>
        </row>
        <row r="32">
          <cell r="AG32">
            <v>62.489242424242398</v>
          </cell>
        </row>
        <row r="33">
          <cell r="AG33">
            <v>51.052153846153836</v>
          </cell>
        </row>
        <row r="34">
          <cell r="AG34">
            <v>33.359846153846156</v>
          </cell>
        </row>
        <row r="35">
          <cell r="AG35">
            <v>43.344696969696976</v>
          </cell>
        </row>
        <row r="36">
          <cell r="AG36">
            <v>45.351515151515159</v>
          </cell>
        </row>
        <row r="37">
          <cell r="AG37">
            <v>61.172031249999989</v>
          </cell>
        </row>
        <row r="38">
          <cell r="AG38">
            <v>69.018923076923087</v>
          </cell>
        </row>
        <row r="39">
          <cell r="AG39">
            <v>73.227878787878808</v>
          </cell>
        </row>
        <row r="40">
          <cell r="AG40">
            <v>79.664393939393932</v>
          </cell>
        </row>
        <row r="41">
          <cell r="AG41">
            <v>85.04105263157895</v>
          </cell>
        </row>
        <row r="42">
          <cell r="AG42">
            <v>111.97261538461539</v>
          </cell>
        </row>
        <row r="43">
          <cell r="AG43">
            <v>97.700000000000031</v>
          </cell>
        </row>
        <row r="44">
          <cell r="AG44">
            <v>88.558461538461557</v>
          </cell>
        </row>
        <row r="45">
          <cell r="AG45">
            <v>82.160923076923055</v>
          </cell>
        </row>
        <row r="46">
          <cell r="AG46">
            <v>77.84061538461539</v>
          </cell>
        </row>
        <row r="47">
          <cell r="AG47">
            <v>85.9244615384616</v>
          </cell>
        </row>
        <row r="48">
          <cell r="AG48">
            <v>82.795384615384592</v>
          </cell>
        </row>
        <row r="49">
          <cell r="AG49">
            <v>81.771692307692305</v>
          </cell>
        </row>
      </sheetData>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cro"/>
      <sheetName val="CPI"/>
      <sheetName val="FX"/>
      <sheetName val="Rates"/>
      <sheetName val="Calc2"/>
      <sheetName val="Calc3"/>
      <sheetName val="COREPO"/>
      <sheetName val="ARS"/>
      <sheetName val="value"/>
      <sheetName val="Sheet1"/>
    </sheetNames>
    <sheetDataSet>
      <sheetData sheetId="0">
        <row r="2">
          <cell r="F2">
            <v>40268</v>
          </cell>
          <cell r="G2">
            <v>40359</v>
          </cell>
          <cell r="H2">
            <v>40451</v>
          </cell>
          <cell r="I2">
            <v>40543</v>
          </cell>
          <cell r="J2">
            <v>40633</v>
          </cell>
          <cell r="K2">
            <v>40724</v>
          </cell>
          <cell r="L2">
            <v>40816</v>
          </cell>
          <cell r="M2">
            <v>40908</v>
          </cell>
          <cell r="N2">
            <v>40999</v>
          </cell>
          <cell r="O2">
            <v>41090</v>
          </cell>
          <cell r="P2">
            <v>41182</v>
          </cell>
          <cell r="Q2">
            <v>41274</v>
          </cell>
          <cell r="R2">
            <v>41364</v>
          </cell>
          <cell r="S2">
            <v>41455</v>
          </cell>
          <cell r="T2">
            <v>41547</v>
          </cell>
          <cell r="U2">
            <v>41639</v>
          </cell>
          <cell r="V2">
            <v>41729</v>
          </cell>
          <cell r="W2">
            <v>41820</v>
          </cell>
          <cell r="X2">
            <v>41912</v>
          </cell>
          <cell r="Y2">
            <v>42004</v>
          </cell>
          <cell r="Z2">
            <v>42094</v>
          </cell>
          <cell r="AA2">
            <v>42185</v>
          </cell>
          <cell r="AB2">
            <v>42277</v>
          </cell>
          <cell r="AC2">
            <v>42369</v>
          </cell>
          <cell r="AD2">
            <v>42460</v>
          </cell>
          <cell r="AE2">
            <v>42551</v>
          </cell>
          <cell r="AF2">
            <v>42643</v>
          </cell>
          <cell r="AG2">
            <v>42735</v>
          </cell>
          <cell r="AH2">
            <v>42825</v>
          </cell>
          <cell r="AI2">
            <v>42916</v>
          </cell>
          <cell r="AJ2">
            <v>43008</v>
          </cell>
          <cell r="AK2">
            <v>43100</v>
          </cell>
          <cell r="AL2">
            <v>43190</v>
          </cell>
          <cell r="AM2">
            <v>43281</v>
          </cell>
          <cell r="AN2">
            <v>43373</v>
          </cell>
          <cell r="AO2">
            <v>43465</v>
          </cell>
          <cell r="AP2">
            <v>43555</v>
          </cell>
          <cell r="AQ2">
            <v>43646</v>
          </cell>
          <cell r="AR2">
            <v>43738</v>
          </cell>
          <cell r="AS2">
            <v>43830</v>
          </cell>
          <cell r="AT2">
            <v>43921</v>
          </cell>
          <cell r="AU2">
            <v>44012</v>
          </cell>
          <cell r="AV2">
            <v>44104</v>
          </cell>
          <cell r="AW2">
            <v>44196</v>
          </cell>
          <cell r="AX2">
            <v>44286</v>
          </cell>
          <cell r="AY2">
            <v>44377</v>
          </cell>
          <cell r="AZ2">
            <v>44469</v>
          </cell>
          <cell r="BA2">
            <v>44561</v>
          </cell>
          <cell r="BB2">
            <v>44651</v>
          </cell>
          <cell r="BC2">
            <v>44742</v>
          </cell>
          <cell r="BD2">
            <v>44834</v>
          </cell>
          <cell r="BE2">
            <v>44926</v>
          </cell>
          <cell r="BF2">
            <v>45016</v>
          </cell>
          <cell r="BG2">
            <v>45107</v>
          </cell>
          <cell r="BH2">
            <v>45199</v>
          </cell>
          <cell r="BI2">
            <v>45291</v>
          </cell>
          <cell r="BJ2">
            <v>45382</v>
          </cell>
          <cell r="BK2">
            <v>45473</v>
          </cell>
          <cell r="BL2">
            <v>45565</v>
          </cell>
          <cell r="BM2">
            <v>45657</v>
          </cell>
          <cell r="BN2">
            <v>45747</v>
          </cell>
          <cell r="BO2">
            <v>45838</v>
          </cell>
        </row>
        <row r="20">
          <cell r="F20">
            <v>7.7706740131035623E-2</v>
          </cell>
          <cell r="G20">
            <v>3.711028219462853E-2</v>
          </cell>
          <cell r="H20">
            <v>4.7694638667892253E-2</v>
          </cell>
          <cell r="I20">
            <v>4.9715337090813883E-2</v>
          </cell>
          <cell r="J20">
            <v>5.6477277516836955E-2</v>
          </cell>
          <cell r="K20">
            <v>4.6153770290300988E-2</v>
          </cell>
          <cell r="L20">
            <v>5.1020922738755248E-2</v>
          </cell>
          <cell r="M20">
            <v>4.3695526760997305E-2</v>
          </cell>
          <cell r="N20">
            <v>6.2174920142764378E-2</v>
          </cell>
          <cell r="O20">
            <v>4.8217584968295091E-2</v>
          </cell>
          <cell r="P20">
            <v>5.6785867172653548E-2</v>
          </cell>
          <cell r="Q20">
            <v>5.2996541573487432E-2</v>
          </cell>
          <cell r="R20">
            <v>5.2678172916810428E-2</v>
          </cell>
          <cell r="S20">
            <v>5.0617317192603872E-2</v>
          </cell>
          <cell r="T20">
            <v>6.8180142994029636E-2</v>
          </cell>
          <cell r="U20">
            <v>6.9969638421198077E-2</v>
          </cell>
          <cell r="V20">
            <v>0.13375467560944143</v>
          </cell>
          <cell r="W20">
            <v>8.1626848691694898E-2</v>
          </cell>
          <cell r="X20">
            <v>6.8998159347883226E-2</v>
          </cell>
          <cell r="Y20">
            <v>5.2983716239484391E-2</v>
          </cell>
          <cell r="Z20">
            <v>5.1579144085217798E-2</v>
          </cell>
          <cell r="AA20">
            <v>6.0467389372667268E-2</v>
          </cell>
          <cell r="AB20">
            <v>5.6307344254053593E-2</v>
          </cell>
          <cell r="AC20">
            <v>7.74997025344073E-2</v>
          </cell>
          <cell r="AD20">
            <v>0.11863658114624398</v>
          </cell>
          <cell r="AE20">
            <v>0.14461416446199404</v>
          </cell>
          <cell r="AF20">
            <v>3.3282440000000024E-2</v>
          </cell>
          <cell r="AG20">
            <v>5.2868608000000039E-2</v>
          </cell>
          <cell r="AH20">
            <v>6.2232064000000031E-2</v>
          </cell>
          <cell r="AI20">
            <v>5.3874535999999917E-2</v>
          </cell>
          <cell r="AJ20">
            <v>5.083152199999974E-2</v>
          </cell>
          <cell r="AK20">
            <v>6.1115509999999817E-2</v>
          </cell>
          <cell r="AL20">
            <v>6.6407936000000056E-2</v>
          </cell>
          <cell r="AM20">
            <v>8.7363978999999814E-2</v>
          </cell>
          <cell r="AN20">
            <v>0.14083758499999965</v>
          </cell>
          <cell r="AO20">
            <v>0.11600892800000029</v>
          </cell>
          <cell r="AP20">
            <v>0.11830279399999988</v>
          </cell>
          <cell r="AQ20">
            <v>9.4837457999999986E-2</v>
          </cell>
          <cell r="AR20">
            <v>0.12558991999999991</v>
          </cell>
          <cell r="AS20">
            <v>0.11718103346340314</v>
          </cell>
          <cell r="AT20">
            <v>7.8005927180355705E-2</v>
          </cell>
          <cell r="AU20">
            <v>5.37391588937981E-2</v>
          </cell>
          <cell r="AV20">
            <v>7.6559927943597117E-2</v>
          </cell>
          <cell r="AW20">
            <v>0.11326524724482145</v>
          </cell>
          <cell r="AX20">
            <v>0.12954804602467096</v>
          </cell>
          <cell r="AY20">
            <v>0.1095051276756831</v>
          </cell>
          <cell r="AZ20">
            <v>9.2845326716294307E-2</v>
          </cell>
          <cell r="BA20">
            <v>0.10210028382213809</v>
          </cell>
          <cell r="BB20">
            <v>0.16069773031624468</v>
          </cell>
          <cell r="BC20">
            <v>0.17301718782356601</v>
          </cell>
          <cell r="BD20">
            <v>0.21976469994829961</v>
          </cell>
          <cell r="BE20">
            <v>0.17293318584528228</v>
          </cell>
          <cell r="BF20">
            <v>0.21732079429573692</v>
          </cell>
          <cell r="BG20">
            <v>0.23780735034318967</v>
          </cell>
          <cell r="BH20">
            <v>0.3482139201338319</v>
          </cell>
          <cell r="BI20">
            <v>0.53289051246897934</v>
          </cell>
          <cell r="BJ20">
            <v>0.51621905416917868</v>
          </cell>
          <cell r="BK20">
            <v>0.18566423188708803</v>
          </cell>
          <cell r="BL20">
            <v>0.12131063918220453</v>
          </cell>
          <cell r="BM20">
            <v>8.0279518803073158E-2</v>
          </cell>
          <cell r="BN20">
            <v>8.5691336507230931E-2</v>
          </cell>
          <cell r="BO20">
            <v>6.0125794294962898E-2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Jorge Mauro" id="{337DBF4D-FC1D-4405-B7DA-FF9ADDCCC3A2}" userId="jorgem@fundamentainvestments.onmicrosoft.com" providerId="PeoplePicker"/>
  <person displayName="Martin Zetzsche" id="{11BDB6C2-00CB-45B1-B924-247309063A41}" userId="S::martinz@fundamentainvestments.onmicrosoft.com::6f28b6b7-6254-441f-b3bc-a4542d3304b5"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
  <rv s="0">
    <v>https://www.bing.com/financeapi/forcetrigger?t=alcxar&amp;q=XMEX%3aKIMBERA&amp;form=skydnc</v>
    <v>Learn more on Bing</v>
  </rv>
  <rv s="1">
    <v>en-US</v>
    <v>alcxar</v>
    <v>268435456</v>
    <v>1</v>
    <v>Powered by Refinitiv</v>
    <v>0</v>
    <v>Kimberly-Clark de Mexico SAB de CV (XMEX:KIMBERA)</v>
    <v>2</v>
    <v>3</v>
    <v>Finance</v>
    <v>4</v>
    <v>43.86</v>
    <v>31.3</v>
    <v>0.84119999999999995</v>
    <v>-1.43</v>
    <v>-3.44E-2</v>
    <v>MXN</v>
    <v>Kimberly-Clark de Mexico SAB de CV is a Mexico-based company is engaged in the manufacture of personal care products. Its activities are divided into three segments: Consumer products, Professional and healthcare, as well as Export. The Consumer products division focuses on the manufacture and distribution of disposable products for daily use, such as diapers, feminine pads, incontinence care products, kitchen towels, napkins and wet wipes; baby and child care products, such as baby wipes, shampoos, lotions and feeding products, and home products, such as antibacterial gels, food wraps and bar soaps. Its brand names portfolio includes Huggies, KleenBebe, Kleenex, Kimlark, Petalo, Cottonelle, Depend, Kotex and Evenflo, among others. The Professional and healthcare division offers personal care products to commercial customers, including managers of hotels, restaurants, offices and hospitals. The Export division is responsible for the international trade, mainly in the United States.</v>
    <v>9400</v>
    <v>Mexican Stock Exchange</v>
    <v>XMEX</v>
    <v>XMEX</v>
    <v>Av. Jaime Balmes No. 8, Piso 9, Los Morales Polanco, MEXICO, D.F., MEXICO, D.F., 11510 MX</v>
    <v>41.73</v>
    <v>Personal &amp; Household Products &amp; Services</v>
    <v>Stock</v>
    <v>46090.657349537039</v>
    <v>0</v>
    <v>40.01</v>
    <v>120444846660</v>
    <v>Kimberly-Clark de Mexico SAB de CV</v>
    <v>Kimberly-Clark de Mexico SAB de CV</v>
    <v>41.72</v>
    <v>41.57</v>
    <v>40.14</v>
    <v>3000619000</v>
    <v>KIMBERA</v>
    <v>Kimberly-Clark de Mexico SAB de CV (XMEX:KIMBERA)</v>
    <v>703834</v>
    <v>5559740</v>
    <v>1925</v>
  </rv>
  <rv s="2">
    <v>1</v>
  </rv>
  <rv s="3">
    <v>1</v>
    <v>8</v>
    <v>0</v>
    <v>1</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s t="_error">
    <k n="colOffset" t="i"/>
    <k n="errorType" t="i"/>
    <k n="rwOffset" t="i"/>
    <k n="subType" t="i"/>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spb>
    <spb s="4">
      <v>Delayed 20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_-[$$-es-MX]* #,##0.00_-;-[$$-es-MX]* #,##0.00_-;_-[$$-es-MX]* "-"??_-;_-@_-</rpv>
    </rSty>
    <rSty dxfid="5">
      <rpv i="0">#,##0.00</rpv>
    </rSty>
    <rSty>
      <rpv i="1">1</rpv>
    </rSty>
    <rSty dxfid="4">
      <rpv i="0">#,##0</rpv>
    </rSty>
    <rSty dxfid="3"/>
    <rSty dxfid="1">
      <rpv i="0">_-[$$-es-MX]* #,##0_-;-[$$-es-MX]* #,##0_-;_-[$$-es-MX]*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9" dT="2024-02-28T14:34:02.62" personId="{11BDB6C2-00CB-45B1-B924-247309063A41}" id="{4E67C41F-F17B-46FF-88A5-F3AA1543B82D}">
    <text>@Jorge Mauro esta te la dejo toda a vos</text>
    <mentions>
      <mention mentionpersonId="{337DBF4D-FC1D-4405-B7DA-FF9ADDCCC3A2}" mentionId="{9ABF4F73-BAE8-4650-BE9B-091232DF949B}" startIndex="0" length="12"/>
    </mentions>
  </threadedComment>
  <threadedComment ref="BE48" dT="2024-02-28T19:58:46.08" personId="{11BDB6C2-00CB-45B1-B924-247309063A41}" id="{58804D35-85BE-4176-A08A-62297EFE65B0}">
    <text>SOFR</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mailto:salvador.escoto@kcc.com" TargetMode="External"/><Relationship Id="rId2" Type="http://schemas.openxmlformats.org/officeDocument/2006/relationships/hyperlink" Target="mailto:azul.arguelles@kcc.com" TargetMode="External"/><Relationship Id="rId1" Type="http://schemas.openxmlformats.org/officeDocument/2006/relationships/hyperlink" Target="mailto:fabianrene.zambrano@kcc.com" TargetMode="Externa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hyperlink" Target="https://www.kimberly-clark.com.mx/en/finance/quarterly-report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hyperlink" Target="http://materiality.sasb.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002D-65F3-4425-8005-A378C32E11C3}">
  <dimension ref="B1:S69"/>
  <sheetViews>
    <sheetView showGridLines="0" topLeftCell="A19" workbookViewId="0">
      <selection activeCell="V37" sqref="V37"/>
    </sheetView>
  </sheetViews>
  <sheetFormatPr defaultColWidth="9.140625" defaultRowHeight="12.75"/>
  <cols>
    <col min="1" max="1" width="9.140625" style="199"/>
    <col min="2" max="2" width="11.7109375" style="199" customWidth="1"/>
    <col min="3" max="5" width="11.7109375" style="199" hidden="1" customWidth="1"/>
    <col min="6" max="17" width="11.7109375" style="199" customWidth="1"/>
    <col min="18" max="18" width="11" style="199" bestFit="1" customWidth="1"/>
    <col min="19" max="19" width="12.42578125" style="199" bestFit="1" customWidth="1"/>
    <col min="20" max="16384" width="9.140625" style="199"/>
  </cols>
  <sheetData>
    <row r="1" spans="2:19">
      <c r="G1" s="199" t="e" vm="1">
        <v>#VALUE!</v>
      </c>
      <c r="M1" s="228" cm="1">
        <f t="array" aca="1" ref="M1" ca="1">+_FV(G1,"Price")</f>
        <v>40.14</v>
      </c>
      <c r="P1" s="242">
        <f ca="1">+TODAY()</f>
        <v>46090</v>
      </c>
      <c r="S1" s="205" cm="1">
        <f t="array" aca="1" ref="S1" ca="1">+_FV(G1,"Shares outstanding",TRUE)/1000000</f>
        <v>3000.6190000000001</v>
      </c>
    </row>
    <row r="2" spans="2:19">
      <c r="B2" s="200" t="s">
        <v>0</v>
      </c>
      <c r="C2" s="200">
        <v>2016</v>
      </c>
      <c r="D2" s="200">
        <f t="shared" ref="D2:L2" si="0">+C2+1</f>
        <v>2017</v>
      </c>
      <c r="E2" s="200">
        <f t="shared" si="0"/>
        <v>2018</v>
      </c>
      <c r="F2" s="200">
        <f t="shared" si="0"/>
        <v>2019</v>
      </c>
      <c r="G2" s="200">
        <f t="shared" si="0"/>
        <v>2020</v>
      </c>
      <c r="H2" s="200">
        <f t="shared" si="0"/>
        <v>2021</v>
      </c>
      <c r="I2" s="200">
        <f t="shared" si="0"/>
        <v>2022</v>
      </c>
      <c r="J2" s="200">
        <f t="shared" si="0"/>
        <v>2023</v>
      </c>
      <c r="K2" s="200">
        <f t="shared" si="0"/>
        <v>2024</v>
      </c>
      <c r="L2" s="200">
        <f t="shared" si="0"/>
        <v>2025</v>
      </c>
      <c r="M2" s="200">
        <f>+L2+1</f>
        <v>2026</v>
      </c>
      <c r="N2" s="200">
        <f>+M2+1</f>
        <v>2027</v>
      </c>
      <c r="O2" s="200">
        <f>+N2+1</f>
        <v>2028</v>
      </c>
      <c r="P2" s="200">
        <f>+O2+1</f>
        <v>2029</v>
      </c>
      <c r="Q2" s="200">
        <f>+P2+1</f>
        <v>2030</v>
      </c>
    </row>
    <row r="3" spans="2:19">
      <c r="B3" s="199" t="s">
        <v>1</v>
      </c>
      <c r="C3" s="204">
        <f>+PROJ!BP3</f>
        <v>35660.294999999998</v>
      </c>
      <c r="D3" s="204">
        <f>+PROJ!BQ3</f>
        <v>37765.759999999995</v>
      </c>
      <c r="E3" s="204">
        <f>+PROJ!BR3</f>
        <v>41026.864000000001</v>
      </c>
      <c r="F3" s="204">
        <f>+PROJ!BS3</f>
        <v>43500.929000000004</v>
      </c>
      <c r="G3" s="204">
        <f>+PROJ!BT3</f>
        <v>46702.895000000004</v>
      </c>
      <c r="H3" s="204">
        <f>+PROJ!BU3</f>
        <v>46893.962999999996</v>
      </c>
      <c r="I3" s="204">
        <f>+PROJ!BV3</f>
        <v>51054.876000000004</v>
      </c>
      <c r="J3" s="204">
        <f>+PROJ!BW3</f>
        <v>53307.054000000004</v>
      </c>
      <c r="K3" s="204">
        <f>+PROJ!BX3</f>
        <v>54782.716999999997</v>
      </c>
      <c r="L3" s="204">
        <f>+PROJ!BY3</f>
        <v>55370.926999999996</v>
      </c>
      <c r="M3" s="204">
        <f>+PROJ!BZ3</f>
        <v>56686.035174999997</v>
      </c>
      <c r="N3" s="204">
        <f>+PROJ!CA3</f>
        <v>57819.7558785</v>
      </c>
      <c r="O3" s="204">
        <f>+PROJ!CB3</f>
        <v>58976.150996069999</v>
      </c>
      <c r="P3" s="204">
        <f>+PROJ!CC3</f>
        <v>60155.674015991397</v>
      </c>
      <c r="Q3" s="204">
        <f>+PROJ!CD3</f>
        <v>61358.787496311226</v>
      </c>
    </row>
    <row r="4" spans="2:19">
      <c r="B4" s="203" t="s">
        <v>2</v>
      </c>
      <c r="C4" s="202"/>
      <c r="D4" s="202">
        <f t="shared" ref="D4:Q4" si="1">+D3/C3-1</f>
        <v>5.904227657118355E-2</v>
      </c>
      <c r="E4" s="202">
        <f t="shared" si="1"/>
        <v>8.6350810893253804E-2</v>
      </c>
      <c r="F4" s="202">
        <f t="shared" si="1"/>
        <v>6.0303536726570295E-2</v>
      </c>
      <c r="G4" s="202">
        <f t="shared" si="1"/>
        <v>7.3606841821699964E-2</v>
      </c>
      <c r="H4" s="202">
        <f t="shared" si="1"/>
        <v>4.0911382474253521E-3</v>
      </c>
      <c r="I4" s="202">
        <f t="shared" si="1"/>
        <v>8.8730248710265913E-2</v>
      </c>
      <c r="J4" s="202">
        <f t="shared" si="1"/>
        <v>4.4112887474254237E-2</v>
      </c>
      <c r="K4" s="202">
        <f t="shared" si="1"/>
        <v>2.768232136782478E-2</v>
      </c>
      <c r="L4" s="202">
        <f t="shared" si="1"/>
        <v>1.073714543950044E-2</v>
      </c>
      <c r="M4" s="202">
        <f t="shared" si="1"/>
        <v>2.3750878777955009E-2</v>
      </c>
      <c r="N4" s="202">
        <f t="shared" si="1"/>
        <v>2.0000000000000018E-2</v>
      </c>
      <c r="O4" s="202">
        <f t="shared" si="1"/>
        <v>2.0000000000000018E-2</v>
      </c>
      <c r="P4" s="202">
        <f t="shared" si="1"/>
        <v>2.0000000000000018E-2</v>
      </c>
      <c r="Q4" s="202">
        <f t="shared" si="1"/>
        <v>2.0000000000000018E-2</v>
      </c>
    </row>
    <row r="5" spans="2:19">
      <c r="B5" s="203"/>
      <c r="C5" s="202"/>
      <c r="D5" s="202"/>
      <c r="E5" s="202"/>
      <c r="F5" s="202"/>
      <c r="G5" s="202"/>
      <c r="H5" s="202"/>
      <c r="I5" s="202"/>
      <c r="J5" s="202"/>
      <c r="K5" s="202"/>
      <c r="L5" s="202">
        <f>56674/K3-1</f>
        <v>3.4523351589151874E-2</v>
      </c>
      <c r="M5" s="202"/>
      <c r="N5" s="202"/>
      <c r="O5" s="202"/>
      <c r="P5" s="202"/>
      <c r="Q5" s="202"/>
    </row>
    <row r="6" spans="2:19">
      <c r="B6" s="199" t="s">
        <v>3</v>
      </c>
      <c r="C6" s="205">
        <f>+PROJ!BP6</f>
        <v>13784.932999999997</v>
      </c>
      <c r="D6" s="205">
        <f>+PROJ!BQ6</f>
        <v>13401.990999999995</v>
      </c>
      <c r="E6" s="205">
        <f>+PROJ!BR6</f>
        <v>14340.566000000003</v>
      </c>
      <c r="F6" s="205">
        <f>+PROJ!BS6</f>
        <v>16321.421000000002</v>
      </c>
      <c r="G6" s="205">
        <f>+PROJ!BT6</f>
        <v>18009.274000000005</v>
      </c>
      <c r="H6" s="205">
        <f>+PROJ!BU6</f>
        <v>15785.675999999992</v>
      </c>
      <c r="I6" s="205">
        <f>+PROJ!BV6</f>
        <v>16772.482000000004</v>
      </c>
      <c r="J6" s="205">
        <f>+PROJ!BW6</f>
        <v>20700.039000000004</v>
      </c>
      <c r="K6" s="205">
        <f>+PROJ!BX6</f>
        <v>22383.727999999996</v>
      </c>
      <c r="L6" s="205">
        <f>+PROJ!BY6</f>
        <v>21530.657999999996</v>
      </c>
      <c r="M6" s="205">
        <f>+PROJ!BZ6</f>
        <v>22688.249398849031</v>
      </c>
      <c r="N6" s="205">
        <f>+PROJ!CA6</f>
        <v>22998.763643856342</v>
      </c>
      <c r="O6" s="205">
        <f>+PROJ!CB6</f>
        <v>23372.096239180777</v>
      </c>
      <c r="P6" s="205">
        <f>+PROJ!CC6</f>
        <v>23746.078650858195</v>
      </c>
      <c r="Q6" s="205">
        <f>+PROJ!CD6</f>
        <v>24121.061946219765</v>
      </c>
    </row>
    <row r="7" spans="2:19">
      <c r="B7" s="199" t="s">
        <v>4</v>
      </c>
      <c r="C7" s="206">
        <f>+C6/C$3</f>
        <v>0.38656250600282466</v>
      </c>
      <c r="D7" s="206">
        <f t="shared" ref="D7:Q7" si="2">+D6/D$3</f>
        <v>0.35487147617312603</v>
      </c>
      <c r="E7" s="206">
        <f t="shared" si="2"/>
        <v>0.34954087643647347</v>
      </c>
      <c r="F7" s="206">
        <f t="shared" si="2"/>
        <v>0.37519706763044075</v>
      </c>
      <c r="G7" s="206">
        <f t="shared" si="2"/>
        <v>0.38561365414285353</v>
      </c>
      <c r="H7" s="206">
        <f t="shared" si="2"/>
        <v>0.33662490841305082</v>
      </c>
      <c r="I7" s="206">
        <f t="shared" si="2"/>
        <v>0.32851870994652893</v>
      </c>
      <c r="J7" s="206">
        <f t="shared" si="2"/>
        <v>0.38831706963209789</v>
      </c>
      <c r="K7" s="206">
        <f t="shared" si="2"/>
        <v>0.40859105253943495</v>
      </c>
      <c r="L7" s="206">
        <f t="shared" si="2"/>
        <v>0.38884409502481326</v>
      </c>
      <c r="M7" s="206">
        <f t="shared" si="2"/>
        <v>0.40024406943978919</v>
      </c>
      <c r="N7" s="206">
        <f t="shared" si="2"/>
        <v>0.3977665296993812</v>
      </c>
      <c r="O7" s="206">
        <f t="shared" si="2"/>
        <v>0.39629741589508322</v>
      </c>
      <c r="P7" s="206">
        <f t="shared" si="2"/>
        <v>0.39474378833400969</v>
      </c>
      <c r="Q7" s="206">
        <f t="shared" si="2"/>
        <v>0.39311503584828622</v>
      </c>
    </row>
    <row r="8" spans="2:19">
      <c r="B8" s="199" t="s">
        <v>5</v>
      </c>
      <c r="C8" s="207">
        <f>+PROJ!BP8</f>
        <v>-5766.5230000000001</v>
      </c>
      <c r="D8" s="207">
        <f>+PROJ!BQ8</f>
        <v>-6432.9260000000004</v>
      </c>
      <c r="E8" s="207">
        <f>+PROJ!BR8</f>
        <v>-6845.8420000000006</v>
      </c>
      <c r="F8" s="207">
        <f>+PROJ!BS8</f>
        <v>-7346.5929999999998</v>
      </c>
      <c r="G8" s="207">
        <f>+PROJ!BT8</f>
        <v>-7504.8760000000002</v>
      </c>
      <c r="H8" s="207">
        <f>+PROJ!BU8</f>
        <v>-7450.8850000000002</v>
      </c>
      <c r="I8" s="207">
        <f>+PROJ!BV8</f>
        <v>-7848.0839999999998</v>
      </c>
      <c r="J8" s="207">
        <f>+PROJ!BW8</f>
        <v>-8784.2959999999985</v>
      </c>
      <c r="K8" s="207">
        <f>+PROJ!BX8</f>
        <v>-9572.8899000000001</v>
      </c>
      <c r="L8" s="207">
        <f>+PROJ!BY8</f>
        <v>-9464.5639999999985</v>
      </c>
      <c r="M8" s="207">
        <f>+PROJ!BZ8</f>
        <v>-9795.8237399999998</v>
      </c>
      <c r="N8" s="207">
        <f>+PROJ!CA8</f>
        <v>-10138.677570899999</v>
      </c>
      <c r="O8" s="207">
        <f>+PROJ!CB8</f>
        <v>-10493.531285881498</v>
      </c>
      <c r="P8" s="207">
        <f>+PROJ!CC8</f>
        <v>-10860.80488088735</v>
      </c>
      <c r="Q8" s="207">
        <f>+PROJ!CD8</f>
        <v>-11240.933051718406</v>
      </c>
    </row>
    <row r="9" spans="2:19">
      <c r="B9" s="199" t="s">
        <v>6</v>
      </c>
      <c r="C9" s="207">
        <f>+PROJ!BP14</f>
        <v>8018.4099999999971</v>
      </c>
      <c r="D9" s="207">
        <f>+PROJ!BQ14</f>
        <v>6977.7909999999938</v>
      </c>
      <c r="E9" s="207">
        <f>+PROJ!BR14</f>
        <v>7503.4060000000018</v>
      </c>
      <c r="F9" s="207">
        <f>+PROJ!BS14</f>
        <v>8997.2950000000019</v>
      </c>
      <c r="G9" s="207">
        <f>+PROJ!BT14</f>
        <v>10537.290000000005</v>
      </c>
      <c r="H9" s="207">
        <f>+PROJ!BU14</f>
        <v>8349.7189999999919</v>
      </c>
      <c r="I9" s="207">
        <f>+PROJ!BV14</f>
        <v>8940.0540000000055</v>
      </c>
      <c r="J9" s="207">
        <f>+PROJ!BW14</f>
        <v>11932.279000000006</v>
      </c>
      <c r="K9" s="207">
        <f>+PROJ!BX14</f>
        <v>12847.350099999996</v>
      </c>
      <c r="L9" s="207">
        <f>+PROJ!BY14</f>
        <v>12088.460999999998</v>
      </c>
      <c r="M9" s="207">
        <f>+PROJ!BZ14</f>
        <v>12892.425658849032</v>
      </c>
      <c r="N9" s="207">
        <f>+PROJ!CA14</f>
        <v>12860.086072956343</v>
      </c>
      <c r="O9" s="207">
        <f>+PROJ!CB14</f>
        <v>12878.564953299279</v>
      </c>
      <c r="P9" s="207">
        <f>+PROJ!CC14</f>
        <v>12885.273769970845</v>
      </c>
      <c r="Q9" s="207">
        <f>+PROJ!CD14</f>
        <v>12880.128894501358</v>
      </c>
    </row>
    <row r="10" spans="2:19">
      <c r="B10" s="199" t="s">
        <v>7</v>
      </c>
      <c r="C10" s="207">
        <f>+SUM(PROJ!BP18:BP22)</f>
        <v>-1073.269</v>
      </c>
      <c r="D10" s="207">
        <f>+SUM(PROJ!BQ18:BQ22)</f>
        <v>-1237.6300000000001</v>
      </c>
      <c r="E10" s="207">
        <f>+SUM(PROJ!BR18:BR22)</f>
        <v>-1512.7190000000001</v>
      </c>
      <c r="F10" s="207">
        <f>+SUM(PROJ!BS18:BS22)</f>
        <v>-1534.8139999999999</v>
      </c>
      <c r="G10" s="207">
        <f>+SUM(PROJ!BT18:BT22)</f>
        <v>-1664.172</v>
      </c>
      <c r="H10" s="207">
        <f>+SUM(PROJ!BU18:BU22)</f>
        <v>-1739.9290000000001</v>
      </c>
      <c r="I10" s="207">
        <f>+SUM(PROJ!BV18:BV22)</f>
        <v>-1689.8200000000002</v>
      </c>
      <c r="J10" s="207">
        <f>+SUM(PROJ!BW18:BW22)</f>
        <v>-1543.9950000000001</v>
      </c>
      <c r="K10" s="207">
        <f>+SUM(PROJ!BX18:BX22)</f>
        <v>-1307.778</v>
      </c>
      <c r="L10" s="207">
        <f>+SUM(PROJ!BY18:BY22)</f>
        <v>-1449.816</v>
      </c>
      <c r="M10" s="207">
        <f>+SUM(PROJ!BZ18:BZ22)</f>
        <v>-1138.7729743100113</v>
      </c>
      <c r="N10" s="207">
        <f>+SUM(PROJ!CA18:CA22)</f>
        <v>-1001.4480777705348</v>
      </c>
      <c r="O10" s="207">
        <f>+SUM(PROJ!CB18:CB22)</f>
        <v>-976.41896484295705</v>
      </c>
      <c r="P10" s="207">
        <f>+SUM(PROJ!CC18:CC22)</f>
        <v>-945.65667929829283</v>
      </c>
      <c r="Q10" s="207">
        <f>+SUM(PROJ!CD18:CD22)</f>
        <v>-819.51711144366607</v>
      </c>
    </row>
    <row r="11" spans="2:19">
      <c r="B11" s="199" t="s">
        <v>8</v>
      </c>
      <c r="C11" s="207">
        <f>+PROJ!BP23</f>
        <v>6945.1409999999969</v>
      </c>
      <c r="D11" s="207">
        <f>+PROJ!BQ23</f>
        <v>5740.1609999999937</v>
      </c>
      <c r="E11" s="207">
        <f>+PROJ!BR23</f>
        <v>5990.6870000000017</v>
      </c>
      <c r="F11" s="207">
        <f>+PROJ!BS23</f>
        <v>7462.4810000000016</v>
      </c>
      <c r="G11" s="207">
        <f>+PROJ!BT23</f>
        <v>8873.118000000004</v>
      </c>
      <c r="H11" s="207">
        <f>+PROJ!BU23</f>
        <v>6609.7899999999918</v>
      </c>
      <c r="I11" s="207">
        <f>+PROJ!BV23</f>
        <v>7250.2340000000058</v>
      </c>
      <c r="J11" s="207">
        <f>+PROJ!BW23</f>
        <v>10388.284000000005</v>
      </c>
      <c r="K11" s="207">
        <f>+PROJ!BX23</f>
        <v>11539.572099999996</v>
      </c>
      <c r="L11" s="207">
        <f>+PROJ!BY23</f>
        <v>10638.644999999997</v>
      </c>
      <c r="M11" s="207">
        <f>+PROJ!BZ23</f>
        <v>11753.65268453902</v>
      </c>
      <c r="N11" s="207">
        <f>+PROJ!CA23</f>
        <v>11858.637995185807</v>
      </c>
      <c r="O11" s="207">
        <f>+PROJ!CB23</f>
        <v>11902.145988456323</v>
      </c>
      <c r="P11" s="207">
        <f>+PROJ!CC23</f>
        <v>11939.617090672553</v>
      </c>
      <c r="Q11" s="207">
        <f>+PROJ!CD23</f>
        <v>12060.611783057693</v>
      </c>
    </row>
    <row r="12" spans="2:19">
      <c r="B12" s="199" t="s">
        <v>9</v>
      </c>
      <c r="C12" s="207">
        <f>+PROJ!BP24</f>
        <v>-2155.9290000000001</v>
      </c>
      <c r="D12" s="207">
        <f>+PROJ!BQ24</f>
        <v>-1703.605</v>
      </c>
      <c r="E12" s="207">
        <f>+PROJ!BR24</f>
        <v>-1782.6039999999998</v>
      </c>
      <c r="F12" s="207">
        <f>+PROJ!BS24</f>
        <v>-2314.011</v>
      </c>
      <c r="G12" s="207">
        <f>+PROJ!BT24</f>
        <v>-2792.1330000000003</v>
      </c>
      <c r="H12" s="207">
        <f>+PROJ!BU24</f>
        <v>-2150.0520000000001</v>
      </c>
      <c r="I12" s="207">
        <f>+PROJ!BV24</f>
        <v>-2314.3979999999997</v>
      </c>
      <c r="J12" s="207">
        <f>+PROJ!BW24</f>
        <v>-3375.5070000000001</v>
      </c>
      <c r="K12" s="207">
        <f>+PROJ!BX24</f>
        <v>-3708.8089999999997</v>
      </c>
      <c r="L12" s="207">
        <f>+PROJ!BY24</f>
        <v>-3059.9810000000002</v>
      </c>
      <c r="M12" s="207">
        <f>+PROJ!BZ24</f>
        <v>-3643.6323322070966</v>
      </c>
      <c r="N12" s="207">
        <f>+PROJ!CA24</f>
        <v>-3735.4709684835293</v>
      </c>
      <c r="O12" s="207">
        <f>+PROJ!CB24</f>
        <v>-3749.1759863637417</v>
      </c>
      <c r="P12" s="207">
        <f>+PROJ!CC24</f>
        <v>-3760.9793835618543</v>
      </c>
      <c r="Q12" s="207">
        <f>+PROJ!CD24</f>
        <v>-3799.0927116631733</v>
      </c>
    </row>
    <row r="13" spans="2:19" s="201" customFormat="1">
      <c r="B13" s="201" t="s">
        <v>10</v>
      </c>
      <c r="C13" s="202">
        <f>+C12/C11</f>
        <v>-0.31042263936758102</v>
      </c>
      <c r="D13" s="202">
        <f t="shared" ref="D13:Q13" si="3">+D12/D11</f>
        <v>-0.29678697165462814</v>
      </c>
      <c r="E13" s="202">
        <f t="shared" si="3"/>
        <v>-0.29756253331212251</v>
      </c>
      <c r="F13" s="202">
        <f t="shared" si="3"/>
        <v>-0.31008601562938648</v>
      </c>
      <c r="G13" s="202">
        <f t="shared" si="3"/>
        <v>-0.31467326367123699</v>
      </c>
      <c r="H13" s="202">
        <f t="shared" si="3"/>
        <v>-0.32528295150072889</v>
      </c>
      <c r="I13" s="202">
        <f t="shared" si="3"/>
        <v>-0.31921700734072828</v>
      </c>
      <c r="J13" s="202">
        <f t="shared" si="3"/>
        <v>-0.32493403145312533</v>
      </c>
      <c r="K13" s="202">
        <f t="shared" si="3"/>
        <v>-0.32139917909087817</v>
      </c>
      <c r="L13" s="202">
        <f t="shared" si="3"/>
        <v>-0.28762882867132056</v>
      </c>
      <c r="M13" s="202">
        <f t="shared" si="3"/>
        <v>-0.31000000000000005</v>
      </c>
      <c r="N13" s="202">
        <f t="shared" si="3"/>
        <v>-0.315</v>
      </c>
      <c r="O13" s="202">
        <f t="shared" si="3"/>
        <v>-0.315</v>
      </c>
      <c r="P13" s="202">
        <f t="shared" si="3"/>
        <v>-0.315</v>
      </c>
      <c r="Q13" s="202">
        <f t="shared" si="3"/>
        <v>-0.315</v>
      </c>
    </row>
    <row r="15" spans="2:19" s="208" customFormat="1">
      <c r="B15" s="208" t="s">
        <v>11</v>
      </c>
      <c r="C15" s="209">
        <f>+PROJ!BP27</f>
        <v>4793.5649999999969</v>
      </c>
      <c r="D15" s="209">
        <f>+PROJ!BQ27</f>
        <v>4066.6889989999936</v>
      </c>
      <c r="E15" s="209">
        <f>+PROJ!BR27</f>
        <v>4214.2260000000024</v>
      </c>
      <c r="F15" s="209">
        <f>+PROJ!BS27</f>
        <v>5141.858000000002</v>
      </c>
      <c r="G15" s="209">
        <f>+PROJ!BT27</f>
        <v>6225.5680000000038</v>
      </c>
      <c r="H15" s="209">
        <f>+PROJ!BU27</f>
        <v>4493.8679999999913</v>
      </c>
      <c r="I15" s="209">
        <f>+PROJ!BV27</f>
        <v>4934.2500000000064</v>
      </c>
      <c r="J15" s="209">
        <f>+PROJ!BW27</f>
        <v>7012.8450000000048</v>
      </c>
      <c r="K15" s="209">
        <f>+PROJ!BX27</f>
        <v>7830.7630999999965</v>
      </c>
      <c r="L15" s="209">
        <f>+PROJ!BY27</f>
        <v>7578.663999999997</v>
      </c>
      <c r="M15" s="209">
        <f>+PROJ!BZ27</f>
        <v>8110.0203523319233</v>
      </c>
      <c r="N15" s="209">
        <f>+PROJ!CA27</f>
        <v>8123.1670267022782</v>
      </c>
      <c r="O15" s="209">
        <f>+PROJ!CB27</f>
        <v>8152.9700020925811</v>
      </c>
      <c r="P15" s="209">
        <f>+PROJ!CC27</f>
        <v>8178.6377071106981</v>
      </c>
      <c r="Q15" s="209">
        <f>+PROJ!CD27</f>
        <v>8261.5190713945194</v>
      </c>
    </row>
    <row r="17" spans="2:17" s="208" customFormat="1">
      <c r="B17" s="208" t="s">
        <v>12</v>
      </c>
      <c r="C17" s="210">
        <f>+PROJ!BP16</f>
        <v>9619.3289999999979</v>
      </c>
      <c r="D17" s="210">
        <f>+PROJ!BQ16</f>
        <v>7358.4239999999936</v>
      </c>
      <c r="E17" s="210">
        <f>+PROJ!BR16</f>
        <v>7885.7440000000015</v>
      </c>
      <c r="F17" s="210">
        <f>+PROJ!BS16</f>
        <v>9456.7500000000018</v>
      </c>
      <c r="G17" s="210">
        <f>+PROJ!BT16</f>
        <v>12490.625000000004</v>
      </c>
      <c r="H17" s="210">
        <f>+PROJ!BU16</f>
        <v>10284.999999999993</v>
      </c>
      <c r="I17" s="210">
        <f>+PROJ!BV16</f>
        <v>10908.780000000006</v>
      </c>
      <c r="J17" s="210">
        <f>+PROJ!BW16</f>
        <v>13916.799000000006</v>
      </c>
      <c r="K17" s="210">
        <f>+PROJ!BX16</f>
        <v>14895.023099999997</v>
      </c>
      <c r="L17" s="210">
        <f>+PROJ!BY16</f>
        <v>14105.057999999997</v>
      </c>
      <c r="M17" s="210">
        <f>+PROJ!BZ16</f>
        <v>14902.69084165218</v>
      </c>
      <c r="N17" s="210">
        <f>+PROJ!CA16</f>
        <v>14855.372313316107</v>
      </c>
      <c r="O17" s="210">
        <f>+PROJ!CB16</f>
        <v>14876.836693296091</v>
      </c>
      <c r="P17" s="210">
        <f>+PROJ!CC16</f>
        <v>14890.471180186831</v>
      </c>
      <c r="Q17" s="210">
        <f>+PROJ!CD16</f>
        <v>14895.863097290263</v>
      </c>
    </row>
    <row r="18" spans="2:17" s="208" customFormat="1">
      <c r="B18" s="208" t="s">
        <v>4</v>
      </c>
      <c r="C18" s="211">
        <f>+C17/C$3</f>
        <v>0.26974900235682286</v>
      </c>
      <c r="D18" s="211">
        <f t="shared" ref="D18:Q18" si="4">+D17/D$3</f>
        <v>0.1948437950143197</v>
      </c>
      <c r="E18" s="211">
        <f t="shared" si="4"/>
        <v>0.19220928024135603</v>
      </c>
      <c r="F18" s="211">
        <f t="shared" si="4"/>
        <v>0.21739190903256345</v>
      </c>
      <c r="G18" s="211">
        <f t="shared" si="4"/>
        <v>0.26744862390222279</v>
      </c>
      <c r="H18" s="211">
        <f t="shared" si="4"/>
        <v>0.2193246068795677</v>
      </c>
      <c r="I18" s="211">
        <f t="shared" si="4"/>
        <v>0.21366774056997034</v>
      </c>
      <c r="J18" s="211">
        <f t="shared" si="4"/>
        <v>0.26106861954892507</v>
      </c>
      <c r="K18" s="211">
        <f t="shared" si="4"/>
        <v>0.27189274128189</v>
      </c>
      <c r="L18" s="211">
        <f t="shared" si="4"/>
        <v>0.25473761708919912</v>
      </c>
      <c r="M18" s="211">
        <f t="shared" si="4"/>
        <v>0.26289880383492847</v>
      </c>
      <c r="N18" s="211">
        <f t="shared" si="4"/>
        <v>0.2569255453885444</v>
      </c>
      <c r="O18" s="211">
        <f t="shared" si="4"/>
        <v>0.25225173976320431</v>
      </c>
      <c r="P18" s="211">
        <f t="shared" si="4"/>
        <v>0.24753228059963958</v>
      </c>
      <c r="Q18" s="211">
        <f t="shared" si="4"/>
        <v>0.24276658169273266</v>
      </c>
    </row>
    <row r="20" spans="2:17">
      <c r="B20" s="200" t="s">
        <v>13</v>
      </c>
      <c r="C20" s="200">
        <f>+C$2</f>
        <v>2016</v>
      </c>
      <c r="D20" s="200">
        <f t="shared" ref="D20:Q20" si="5">+D$2</f>
        <v>2017</v>
      </c>
      <c r="E20" s="200">
        <f t="shared" si="5"/>
        <v>2018</v>
      </c>
      <c r="F20" s="200">
        <f t="shared" si="5"/>
        <v>2019</v>
      </c>
      <c r="G20" s="200">
        <f t="shared" si="5"/>
        <v>2020</v>
      </c>
      <c r="H20" s="200">
        <f t="shared" si="5"/>
        <v>2021</v>
      </c>
      <c r="I20" s="200">
        <f t="shared" si="5"/>
        <v>2022</v>
      </c>
      <c r="J20" s="200">
        <f t="shared" si="5"/>
        <v>2023</v>
      </c>
      <c r="K20" s="200">
        <f t="shared" si="5"/>
        <v>2024</v>
      </c>
      <c r="L20" s="200">
        <f t="shared" si="5"/>
        <v>2025</v>
      </c>
      <c r="M20" s="200">
        <f t="shared" si="5"/>
        <v>2026</v>
      </c>
      <c r="N20" s="200">
        <f t="shared" si="5"/>
        <v>2027</v>
      </c>
      <c r="O20" s="200">
        <f t="shared" si="5"/>
        <v>2028</v>
      </c>
      <c r="P20" s="200">
        <f t="shared" si="5"/>
        <v>2029</v>
      </c>
      <c r="Q20" s="200">
        <f t="shared" si="5"/>
        <v>2030</v>
      </c>
    </row>
    <row r="21" spans="2:17">
      <c r="B21" s="199" t="s">
        <v>14</v>
      </c>
      <c r="C21" s="212" cm="1">
        <f t="array" aca="1" ref="C21" ca="1">+_FV($G$1,"Market cap",TRUE)/1000000</f>
        <v>120444.84666</v>
      </c>
      <c r="D21" s="212" cm="1">
        <f t="array" aca="1" ref="D21" ca="1">+_FV($G$1,"Market cap",TRUE)/1000000</f>
        <v>120444.84666</v>
      </c>
      <c r="E21" s="212" cm="1">
        <f t="array" aca="1" ref="E21" ca="1">+_FV($G$1,"Market cap",TRUE)/1000000</f>
        <v>120444.84666</v>
      </c>
      <c r="F21" s="212" cm="1">
        <f t="array" aca="1" ref="F21" ca="1">+_FV($G$1,"Market cap",TRUE)/1000000</f>
        <v>120444.84666</v>
      </c>
      <c r="G21" s="212" cm="1">
        <f t="array" aca="1" ref="G21" ca="1">+_FV($G$1,"Market cap",TRUE)/1000000</f>
        <v>120444.84666</v>
      </c>
      <c r="H21" s="212" cm="1">
        <f t="array" aca="1" ref="H21" ca="1">+_FV($G$1,"Market cap",TRUE)/1000000</f>
        <v>120444.84666</v>
      </c>
      <c r="I21" s="212" cm="1">
        <f t="array" aca="1" ref="I21" ca="1">+_FV($G$1,"Market cap",TRUE)/1000000</f>
        <v>120444.84666</v>
      </c>
      <c r="J21" s="212" cm="1">
        <f t="array" aca="1" ref="J21" ca="1">+_FV($G$1,"Market cap",TRUE)/1000000</f>
        <v>120444.84666</v>
      </c>
      <c r="K21" s="212" cm="1">
        <f t="array" aca="1" ref="K21" ca="1">+_FV($G$1,"Market cap",TRUE)/1000000</f>
        <v>120444.84666</v>
      </c>
      <c r="L21" s="212" cm="1">
        <f t="array" aca="1" ref="L21" ca="1">+_FV($G$1,"Market cap",TRUE)/1000000</f>
        <v>120444.84666</v>
      </c>
      <c r="M21" s="212" cm="1">
        <f t="array" aca="1" ref="M21" ca="1">+_FV($G$1,"Market cap",TRUE)/1000000</f>
        <v>120444.84666</v>
      </c>
      <c r="N21" s="212" cm="1">
        <f t="array" aca="1" ref="N21" ca="1">+_FV($G$1,"Market cap",TRUE)/1000000</f>
        <v>120444.84666</v>
      </c>
      <c r="O21" s="212" cm="1">
        <f t="array" aca="1" ref="O21" ca="1">+_FV($G$1,"Market cap",TRUE)/1000000</f>
        <v>120444.84666</v>
      </c>
      <c r="P21" s="212" cm="1">
        <f t="array" aca="1" ref="P21" ca="1">+_FV($G$1,"Market cap",TRUE)/1000000</f>
        <v>120444.84666</v>
      </c>
      <c r="Q21" s="212" cm="1">
        <f t="array" aca="1" ref="Q21" ca="1">+_FV($G$1,"Market cap",TRUE)/1000000</f>
        <v>120444.84666</v>
      </c>
    </row>
    <row r="22" spans="2:17">
      <c r="B22" s="199" t="s">
        <v>15</v>
      </c>
      <c r="C22" s="213">
        <f>+PROJ!BP145</f>
        <v>15814.634200000006</v>
      </c>
      <c r="D22" s="213">
        <f>+PROJ!BQ145</f>
        <v>18630.793000000001</v>
      </c>
      <c r="E22" s="213">
        <f>+PROJ!BR145</f>
        <v>19641.064999999999</v>
      </c>
      <c r="F22" s="213">
        <f>+PROJ!BS145</f>
        <v>17336.938999999998</v>
      </c>
      <c r="G22" s="213">
        <f>+PROJ!BT145</f>
        <v>15907.714</v>
      </c>
      <c r="H22" s="213">
        <f>+PROJ!BU145</f>
        <v>17086.529000000002</v>
      </c>
      <c r="I22" s="213">
        <f>+PROJ!BV145</f>
        <v>17598.026000000002</v>
      </c>
      <c r="J22" s="213">
        <f>+PROJ!BW145</f>
        <v>12745.852999999999</v>
      </c>
      <c r="K22" s="213">
        <f>+PROJ!BX145</f>
        <v>12696.968999999999</v>
      </c>
      <c r="L22" s="213">
        <f>+PROJ!BY145</f>
        <v>13522.865999999996</v>
      </c>
      <c r="M22" s="213">
        <f>+PROJ!BZ145</f>
        <v>14169.331570695842</v>
      </c>
      <c r="N22" s="213">
        <f>+PROJ!CA145</f>
        <v>12483.529222614949</v>
      </c>
      <c r="O22" s="213">
        <f>+PROJ!CB145</f>
        <v>10838.082468636574</v>
      </c>
      <c r="P22" s="213">
        <f>+PROJ!CC145</f>
        <v>9221.1718556404121</v>
      </c>
      <c r="Q22" s="213">
        <f>+PROJ!CD145</f>
        <v>7569.5518712978537</v>
      </c>
    </row>
    <row r="23" spans="2:17">
      <c r="B23" s="199" t="s">
        <v>16</v>
      </c>
      <c r="C23" s="204">
        <f ca="1">+C21+C22</f>
        <v>136259.48086000001</v>
      </c>
      <c r="D23" s="204">
        <f t="shared" ref="D23:Q23" ca="1" si="6">+D21+D22</f>
        <v>139075.63965999999</v>
      </c>
      <c r="E23" s="204">
        <f t="shared" ca="1" si="6"/>
        <v>140085.91165999998</v>
      </c>
      <c r="F23" s="204">
        <f t="shared" ca="1" si="6"/>
        <v>137781.78565999999</v>
      </c>
      <c r="G23" s="204">
        <f t="shared" ca="1" si="6"/>
        <v>136352.56065999999</v>
      </c>
      <c r="H23" s="204">
        <f t="shared" ca="1" si="6"/>
        <v>137531.37565999999</v>
      </c>
      <c r="I23" s="204">
        <f t="shared" ca="1" si="6"/>
        <v>138042.87265999999</v>
      </c>
      <c r="J23" s="204">
        <f t="shared" ca="1" si="6"/>
        <v>133190.69965999998</v>
      </c>
      <c r="K23" s="204">
        <f t="shared" ca="1" si="6"/>
        <v>133141.81565999999</v>
      </c>
      <c r="L23" s="204">
        <f t="shared" ca="1" si="6"/>
        <v>133967.71265999999</v>
      </c>
      <c r="M23" s="204">
        <f t="shared" ca="1" si="6"/>
        <v>134614.17823069583</v>
      </c>
      <c r="N23" s="204">
        <f t="shared" ca="1" si="6"/>
        <v>132928.37588261496</v>
      </c>
      <c r="O23" s="204">
        <f t="shared" ca="1" si="6"/>
        <v>131282.92912863658</v>
      </c>
      <c r="P23" s="204">
        <f t="shared" ca="1" si="6"/>
        <v>129666.0185156404</v>
      </c>
      <c r="Q23" s="204">
        <f t="shared" ca="1" si="6"/>
        <v>128014.39853129785</v>
      </c>
    </row>
    <row r="25" spans="2:17">
      <c r="B25" s="357" t="s">
        <v>17</v>
      </c>
      <c r="C25" s="358">
        <f ca="1">+C21/C15</f>
        <v>25.126361415773037</v>
      </c>
      <c r="D25" s="358">
        <f t="shared" ref="D25:Q25" ca="1" si="7">+D21/D15</f>
        <v>29.61742259848678</v>
      </c>
      <c r="E25" s="358">
        <f t="shared" ca="1" si="7"/>
        <v>28.580538077454776</v>
      </c>
      <c r="F25" s="358">
        <f t="shared" ca="1" si="7"/>
        <v>23.424382131906395</v>
      </c>
      <c r="G25" s="358">
        <f t="shared" ca="1" si="7"/>
        <v>19.346804445795133</v>
      </c>
      <c r="H25" s="358">
        <f t="shared" ca="1" si="7"/>
        <v>26.802043731591635</v>
      </c>
      <c r="I25" s="358">
        <f t="shared" ca="1" si="7"/>
        <v>24.409960310077487</v>
      </c>
      <c r="J25" s="358">
        <f t="shared" ca="1" si="7"/>
        <v>17.174890741204162</v>
      </c>
      <c r="K25" s="358">
        <f t="shared" ca="1" si="7"/>
        <v>15.380984601615653</v>
      </c>
      <c r="L25" s="358">
        <f t="shared" ca="1" si="7"/>
        <v>15.892622586250036</v>
      </c>
      <c r="M25" s="358" t="s">
        <v>554</v>
      </c>
      <c r="N25" s="358">
        <f t="shared" ca="1" si="7"/>
        <v>14.827326123429028</v>
      </c>
      <c r="O25" s="358">
        <f t="shared" ca="1" si="7"/>
        <v>14.773125208247551</v>
      </c>
      <c r="P25" s="358">
        <f t="shared" ca="1" si="7"/>
        <v>14.726761469735044</v>
      </c>
      <c r="Q25" s="359">
        <f t="shared" ca="1" si="7"/>
        <v>14.57901938119829</v>
      </c>
    </row>
    <row r="26" spans="2:17">
      <c r="B26" s="199" t="s">
        <v>18</v>
      </c>
      <c r="C26" s="212">
        <f ca="1">+C21/PROJ!BP88</f>
        <v>17.208193859562272</v>
      </c>
      <c r="D26" s="212">
        <f ca="1">+D21/PROJ!BQ88</f>
        <v>19.776835935383382</v>
      </c>
      <c r="E26" s="212">
        <f ca="1">+E21/PROJ!BR88</f>
        <v>21.659695823357218</v>
      </c>
      <c r="F26" s="212">
        <f ca="1">+F21/PROJ!BS88</f>
        <v>22.791818562171155</v>
      </c>
      <c r="G26" s="212">
        <f ca="1">+G21/PROJ!BT88</f>
        <v>20.733376080286096</v>
      </c>
      <c r="H26" s="212">
        <f ca="1">+H21/PROJ!BU88</f>
        <v>21.043440561923212</v>
      </c>
      <c r="I26" s="212">
        <f ca="1">+I21/PROJ!BV88</f>
        <v>23.957442970094181</v>
      </c>
      <c r="J26" s="212">
        <f ca="1">+J21/PROJ!BW88</f>
        <v>17.402415038410485</v>
      </c>
      <c r="K26" s="212">
        <f ca="1">+K21/PROJ!BX88</f>
        <v>16.261133062667376</v>
      </c>
      <c r="L26" s="212">
        <f ca="1">+L21/PROJ!BY88</f>
        <v>16.64441972265023</v>
      </c>
      <c r="M26" s="212">
        <f ca="1">+M21/PROJ!BZ88</f>
        <v>14.040034777652773</v>
      </c>
      <c r="N26" s="212">
        <f ca="1">+N21/PROJ!CA88</f>
        <v>11.792338205182487</v>
      </c>
      <c r="O26" s="212">
        <f ca="1">+O21/PROJ!CB88</f>
        <v>10.148485142749466</v>
      </c>
      <c r="P26" s="212">
        <f ca="1">+P21/PROJ!CC88</f>
        <v>8.905664927424473</v>
      </c>
      <c r="Q26" s="212">
        <f ca="1">+Q21/PROJ!CD88</f>
        <v>7.9015827087825752</v>
      </c>
    </row>
    <row r="27" spans="2:17">
      <c r="B27" s="199" t="s">
        <v>19</v>
      </c>
      <c r="C27" s="214">
        <f ca="1">+C23/C17</f>
        <v>14.165175227918708</v>
      </c>
      <c r="D27" s="214">
        <f t="shared" ref="D27:Q27" ca="1" si="8">+D23/D17</f>
        <v>18.900193799650591</v>
      </c>
      <c r="E27" s="214">
        <f t="shared" ca="1" si="8"/>
        <v>17.76445084446058</v>
      </c>
      <c r="F27" s="214">
        <f t="shared" ca="1" si="8"/>
        <v>14.569676227033597</v>
      </c>
      <c r="G27" s="214">
        <f t="shared" ca="1" si="8"/>
        <v>10.916392146910178</v>
      </c>
      <c r="H27" s="214">
        <f t="shared" ca="1" si="8"/>
        <v>13.372034580456985</v>
      </c>
      <c r="I27" s="214">
        <f t="shared" ca="1" si="8"/>
        <v>12.654290641116598</v>
      </c>
      <c r="J27" s="214">
        <f t="shared" ca="1" si="8"/>
        <v>9.5704981914303655</v>
      </c>
      <c r="K27" s="214">
        <f t="shared" ca="1" si="8"/>
        <v>8.9386780246080999</v>
      </c>
      <c r="L27" s="214">
        <f t="shared" ca="1" si="8"/>
        <v>9.4978491162531924</v>
      </c>
      <c r="M27" s="214">
        <f t="shared" ca="1" si="8"/>
        <v>9.0328773280632522</v>
      </c>
      <c r="N27" s="214">
        <f t="shared" ca="1" si="8"/>
        <v>8.9481685870276166</v>
      </c>
      <c r="O27" s="214">
        <f t="shared" ca="1" si="8"/>
        <v>8.8246535090215961</v>
      </c>
      <c r="P27" s="214">
        <f t="shared" ca="1" si="8"/>
        <v>8.7079862649459479</v>
      </c>
      <c r="Q27" s="214">
        <f t="shared" ca="1" si="8"/>
        <v>8.5939564357694191</v>
      </c>
    </row>
    <row r="29" spans="2:17">
      <c r="B29" s="199" t="s">
        <v>20</v>
      </c>
      <c r="C29" s="206">
        <f ca="1">+PROJ!BP121/Resumo!$M$1</f>
        <v>0</v>
      </c>
      <c r="D29" s="206">
        <f ca="1">+PROJ!BQ121/Resumo!$M$1</f>
        <v>0</v>
      </c>
      <c r="E29" s="206">
        <f ca="1">+PROJ!BR121/Resumo!$M$1</f>
        <v>0</v>
      </c>
      <c r="F29" s="206">
        <f ca="1">+PROJ!BS121/Resumo!$M$1</f>
        <v>0</v>
      </c>
      <c r="G29" s="206">
        <f ca="1">+PROJ!BT121/Resumo!$M$1</f>
        <v>3.9862210683767822E-2</v>
      </c>
      <c r="H29" s="206">
        <f ca="1">+PROJ!BU121/Resumo!$M$1</f>
        <v>3.9861726518336346E-2</v>
      </c>
      <c r="I29" s="206">
        <f ca="1">+PROJ!BV121/Resumo!$M$1</f>
        <v>3.9861741036020401E-2</v>
      </c>
      <c r="J29" s="206">
        <f ca="1">+PROJ!BW121/Resumo!$M$1</f>
        <v>3.9862193542031223E-2</v>
      </c>
      <c r="K29" s="206">
        <f ca="1">+PROJ!BX121/Resumo!$M$1</f>
        <v>5.4802316389047978E-2</v>
      </c>
      <c r="L29" s="206">
        <f ca="1">+PROJ!BY121/Resumo!$M$1</f>
        <v>6.3534891608287139E-2</v>
      </c>
      <c r="M29" s="206">
        <f ca="1">+PROJ!BZ121/Resumo!$M$1</f>
        <v>7.4388023026272732E-2</v>
      </c>
      <c r="N29" s="206">
        <f ca="1">+PROJ!CA121/Resumo!$M$1</f>
        <v>5.504645112458894E-2</v>
      </c>
      <c r="O29" s="206">
        <f ca="1">+PROJ!CB121/Resumo!$M$1</f>
        <v>5.5135683671085629E-2</v>
      </c>
      <c r="P29" s="206">
        <f ca="1">+PROJ!CC121/Resumo!$M$1</f>
        <v>5.5337970219937256E-2</v>
      </c>
      <c r="Q29" s="206">
        <f ca="1">+PROJ!CD121/Resumo!$M$1</f>
        <v>5.5512188780233944E-2</v>
      </c>
    </row>
    <row r="30" spans="2:17">
      <c r="B30" s="199" t="s">
        <v>21</v>
      </c>
      <c r="F30" s="206">
        <f ca="1">+F45/F21</f>
        <v>5.4502233860870469E-2</v>
      </c>
      <c r="G30" s="206">
        <f t="shared" ref="G30:Q30" ca="1" si="9">+G45/G21</f>
        <v>0.15751406163150161</v>
      </c>
      <c r="H30" s="206">
        <f t="shared" ca="1" si="9"/>
        <v>-7.1047796873836841E-3</v>
      </c>
      <c r="I30" s="206">
        <f t="shared" ca="1" si="9"/>
        <v>8.4117655349755363E-2</v>
      </c>
      <c r="J30" s="206">
        <f t="shared" ca="1" si="9"/>
        <v>3.5718888099417187E-2</v>
      </c>
      <c r="K30" s="206">
        <f t="shared" ca="1" si="9"/>
        <v>3.0652246255265369E-2</v>
      </c>
      <c r="L30" s="206">
        <f t="shared" ca="1" si="9"/>
        <v>1.9170990407901229E-2</v>
      </c>
      <c r="M30" s="206">
        <f t="shared" ca="1" si="9"/>
        <v>6.8321435100776401E-2</v>
      </c>
      <c r="N30" s="206">
        <f t="shared" ca="1" si="9"/>
        <v>6.7863581187662211E-2</v>
      </c>
      <c r="O30" s="206">
        <f t="shared" ca="1" si="9"/>
        <v>6.7615847428737108E-2</v>
      </c>
      <c r="P30" s="206">
        <f t="shared" ca="1" si="9"/>
        <v>6.757687722120953E-2</v>
      </c>
      <c r="Q30" s="206">
        <f t="shared" ca="1" si="9"/>
        <v>6.8035539728513256E-2</v>
      </c>
    </row>
    <row r="31" spans="2:17">
      <c r="B31" s="199" t="s">
        <v>22</v>
      </c>
      <c r="C31" s="206">
        <f>+PROJ!BP165</f>
        <v>0.69791525849776881</v>
      </c>
      <c r="D31" s="206">
        <f>+PROJ!BQ165</f>
        <v>0.62136796804087702</v>
      </c>
      <c r="E31" s="206">
        <f>+PROJ!BR165</f>
        <v>0.7234114211851711</v>
      </c>
      <c r="F31" s="206">
        <f>+PROJ!BS165</f>
        <v>0.94821456611761745</v>
      </c>
      <c r="G31" s="206">
        <f>+PROJ!BT165</f>
        <v>1.1223518743369043</v>
      </c>
      <c r="H31" s="206">
        <f>+PROJ!BU165</f>
        <v>0.77931585711567863</v>
      </c>
      <c r="I31" s="206">
        <f>+PROJ!BV165</f>
        <v>0.91790786766612109</v>
      </c>
      <c r="J31" s="206">
        <f>+PROJ!BW165</f>
        <v>1.1738347407358873</v>
      </c>
      <c r="K31" s="206">
        <f>+PROJ!BX165</f>
        <v>1.0930657737436145</v>
      </c>
      <c r="L31" s="206">
        <f>+PROJ!BY165</f>
        <v>1.0351056929512852</v>
      </c>
      <c r="M31" s="206">
        <f>+PROJ!BZ165</f>
        <v>1.0256097768506929</v>
      </c>
      <c r="N31" s="206">
        <f>+PROJ!CA165</f>
        <v>0.86451187469281954</v>
      </c>
      <c r="O31" s="206">
        <f>+PROJ!CB165</f>
        <v>0.73842406665080396</v>
      </c>
      <c r="P31" s="206">
        <f>+PROJ!CC165</f>
        <v>0.64417035254558519</v>
      </c>
      <c r="Q31" s="206">
        <f>+PROJ!CD165</f>
        <v>0.57436176934636718</v>
      </c>
    </row>
    <row r="32" spans="2:17">
      <c r="B32" s="199" t="s">
        <v>23</v>
      </c>
      <c r="C32" s="206"/>
      <c r="D32" s="206"/>
      <c r="E32" s="206"/>
      <c r="F32" s="206">
        <f>+PROJ!BS39</f>
        <v>0</v>
      </c>
      <c r="G32" s="206">
        <f>+PROJ!BT39</f>
        <v>0.4724720679247309</v>
      </c>
      <c r="H32" s="206">
        <f>+PROJ!BU39</f>
        <v>0.35620917097938448</v>
      </c>
      <c r="I32" s="206">
        <f>+PROJ!BV39</f>
        <v>0.36687443745415527</v>
      </c>
      <c r="J32" s="206">
        <f>+PROJ!BW39</f>
        <v>0.49119914033373291</v>
      </c>
      <c r="K32" s="206">
        <f>+PROJ!BX39</f>
        <v>0.52447156156564212</v>
      </c>
      <c r="L32" s="206">
        <f>+PROJ!BY39</f>
        <v>0.48755109266282015</v>
      </c>
      <c r="M32" s="206">
        <f>+PROJ!BZ39</f>
        <v>0.49312107038394493</v>
      </c>
      <c r="N32" s="206">
        <f>+PROJ!CA39</f>
        <v>0.48915848613258439</v>
      </c>
      <c r="O32" s="206">
        <f>+PROJ!CB39</f>
        <v>0.49042865084665832</v>
      </c>
      <c r="P32" s="206">
        <f>+PROJ!CC39</f>
        <v>0.49002568393932261</v>
      </c>
      <c r="Q32" s="206">
        <f>+PROJ!CD39</f>
        <v>0.48838835226296118</v>
      </c>
    </row>
    <row r="34" spans="2:18">
      <c r="B34" s="200" t="s">
        <v>24</v>
      </c>
      <c r="C34" s="200">
        <f>+C$2</f>
        <v>2016</v>
      </c>
      <c r="D34" s="200">
        <f t="shared" ref="D34:Q34" si="10">+D$2</f>
        <v>2017</v>
      </c>
      <c r="E34" s="200">
        <f t="shared" si="10"/>
        <v>2018</v>
      </c>
      <c r="F34" s="200">
        <f t="shared" si="10"/>
        <v>2019</v>
      </c>
      <c r="G34" s="200">
        <f t="shared" si="10"/>
        <v>2020</v>
      </c>
      <c r="H34" s="200">
        <f t="shared" si="10"/>
        <v>2021</v>
      </c>
      <c r="I34" s="200">
        <f t="shared" si="10"/>
        <v>2022</v>
      </c>
      <c r="J34" s="200">
        <f t="shared" si="10"/>
        <v>2023</v>
      </c>
      <c r="K34" s="200">
        <f t="shared" si="10"/>
        <v>2024</v>
      </c>
      <c r="L34" s="200">
        <f t="shared" si="10"/>
        <v>2025</v>
      </c>
      <c r="M34" s="200">
        <f t="shared" si="10"/>
        <v>2026</v>
      </c>
      <c r="N34" s="200">
        <f t="shared" si="10"/>
        <v>2027</v>
      </c>
      <c r="O34" s="200">
        <f t="shared" si="10"/>
        <v>2028</v>
      </c>
      <c r="P34" s="200">
        <f t="shared" si="10"/>
        <v>2029</v>
      </c>
      <c r="Q34" s="200">
        <f t="shared" si="10"/>
        <v>2030</v>
      </c>
    </row>
    <row r="35" spans="2:18" s="208" customFormat="1">
      <c r="B35" s="208" t="s">
        <v>6</v>
      </c>
      <c r="C35" s="216">
        <f>+C9</f>
        <v>8018.4099999999971</v>
      </c>
      <c r="D35" s="216">
        <f t="shared" ref="D35:Q35" si="11">+D9</f>
        <v>6977.7909999999938</v>
      </c>
      <c r="E35" s="216">
        <f t="shared" si="11"/>
        <v>7503.4060000000018</v>
      </c>
      <c r="F35" s="216">
        <f t="shared" si="11"/>
        <v>8997.2950000000019</v>
      </c>
      <c r="G35" s="216">
        <f t="shared" si="11"/>
        <v>10537.290000000005</v>
      </c>
      <c r="H35" s="216">
        <f t="shared" si="11"/>
        <v>8349.7189999999919</v>
      </c>
      <c r="I35" s="216">
        <f t="shared" si="11"/>
        <v>8940.0540000000055</v>
      </c>
      <c r="J35" s="216">
        <f t="shared" si="11"/>
        <v>11932.279000000006</v>
      </c>
      <c r="K35" s="216">
        <f t="shared" si="11"/>
        <v>12847.350099999996</v>
      </c>
      <c r="L35" s="216">
        <f t="shared" si="11"/>
        <v>12088.460999999998</v>
      </c>
      <c r="M35" s="216">
        <f t="shared" si="11"/>
        <v>12892.425658849032</v>
      </c>
      <c r="N35" s="216">
        <f t="shared" si="11"/>
        <v>12860.086072956343</v>
      </c>
      <c r="O35" s="216">
        <f t="shared" si="11"/>
        <v>12878.564953299279</v>
      </c>
      <c r="P35" s="216">
        <f t="shared" si="11"/>
        <v>12885.273769970845</v>
      </c>
      <c r="Q35" s="216">
        <f t="shared" si="11"/>
        <v>12880.128894501358</v>
      </c>
    </row>
    <row r="36" spans="2:18">
      <c r="B36" s="199" t="s">
        <v>25</v>
      </c>
      <c r="C36" s="207">
        <f>+C13*C35</f>
        <v>-2489.0959957314044</v>
      </c>
      <c r="D36" s="207">
        <f t="shared" ref="D36:Q36" si="12">+D13*D35</f>
        <v>-2070.9174597289175</v>
      </c>
      <c r="E36" s="207">
        <f t="shared" si="12"/>
        <v>-2232.7324978293805</v>
      </c>
      <c r="F36" s="207">
        <f t="shared" si="12"/>
        <v>-2789.9353579922013</v>
      </c>
      <c r="G36" s="207">
        <f t="shared" si="12"/>
        <v>-3315.8034345502901</v>
      </c>
      <c r="H36" s="207">
        <f t="shared" si="12"/>
        <v>-2716.0212405217117</v>
      </c>
      <c r="I36" s="207">
        <f t="shared" si="12"/>
        <v>-2853.8172833445092</v>
      </c>
      <c r="J36" s="207">
        <f t="shared" si="12"/>
        <v>-3877.2035198934686</v>
      </c>
      <c r="K36" s="207">
        <f t="shared" si="12"/>
        <v>-4129.1277756331101</v>
      </c>
      <c r="L36" s="207">
        <f t="shared" si="12"/>
        <v>-3476.9898778689399</v>
      </c>
      <c r="M36" s="207">
        <f t="shared" si="12"/>
        <v>-3996.6519542432006</v>
      </c>
      <c r="N36" s="207">
        <f t="shared" si="12"/>
        <v>-4050.9271129812482</v>
      </c>
      <c r="O36" s="207">
        <f t="shared" si="12"/>
        <v>-4056.7479602892731</v>
      </c>
      <c r="P36" s="207">
        <f t="shared" si="12"/>
        <v>-4058.8612375408161</v>
      </c>
      <c r="Q36" s="207">
        <f t="shared" si="12"/>
        <v>-4057.2406017679277</v>
      </c>
    </row>
    <row r="37" spans="2:18" s="208" customFormat="1">
      <c r="B37" s="208" t="s">
        <v>26</v>
      </c>
      <c r="C37" s="216">
        <f>+C35+C36</f>
        <v>5529.3140042685927</v>
      </c>
      <c r="D37" s="216">
        <f t="shared" ref="D37:Q37" si="13">+D35+D36</f>
        <v>4906.8735402710763</v>
      </c>
      <c r="E37" s="216">
        <f t="shared" si="13"/>
        <v>5270.6735021706208</v>
      </c>
      <c r="F37" s="216">
        <f t="shared" si="13"/>
        <v>6207.3596420078011</v>
      </c>
      <c r="G37" s="216">
        <f t="shared" si="13"/>
        <v>7221.4865654497144</v>
      </c>
      <c r="H37" s="216">
        <f t="shared" si="13"/>
        <v>5633.6977594782802</v>
      </c>
      <c r="I37" s="216">
        <f t="shared" si="13"/>
        <v>6086.2367166554959</v>
      </c>
      <c r="J37" s="216">
        <f t="shared" si="13"/>
        <v>8055.0754801065377</v>
      </c>
      <c r="K37" s="216">
        <f t="shared" si="13"/>
        <v>8718.222324366885</v>
      </c>
      <c r="L37" s="216">
        <f t="shared" si="13"/>
        <v>8611.4711221310572</v>
      </c>
      <c r="M37" s="216">
        <f t="shared" si="13"/>
        <v>8895.7737046058319</v>
      </c>
      <c r="N37" s="216">
        <f t="shared" si="13"/>
        <v>8809.1589599750951</v>
      </c>
      <c r="O37" s="216">
        <f t="shared" si="13"/>
        <v>8821.8169930100066</v>
      </c>
      <c r="P37" s="216">
        <f t="shared" si="13"/>
        <v>8826.4125324300294</v>
      </c>
      <c r="Q37" s="216">
        <f t="shared" si="13"/>
        <v>8822.8882927334307</v>
      </c>
    </row>
    <row r="38" spans="2:18">
      <c r="B38" s="199" t="s">
        <v>27</v>
      </c>
      <c r="C38" s="207">
        <f>+PROJ!BP98</f>
        <v>1600.9190000000001</v>
      </c>
      <c r="D38" s="207">
        <f>+PROJ!BQ98</f>
        <v>380.63299999999998</v>
      </c>
      <c r="E38" s="207">
        <f>+PROJ!BR98</f>
        <v>382.33799999999997</v>
      </c>
      <c r="F38" s="207">
        <f>+PROJ!BS98</f>
        <v>459.45499999999998</v>
      </c>
      <c r="G38" s="207">
        <f>+PROJ!BT98</f>
        <v>1953.335</v>
      </c>
      <c r="H38" s="207">
        <f>+PROJ!BU98</f>
        <v>1935.2809999999999</v>
      </c>
      <c r="I38" s="207">
        <f>+PROJ!BV98</f>
        <v>1968.7260000000001</v>
      </c>
      <c r="J38" s="207">
        <f>+PROJ!BW98</f>
        <v>1984.52</v>
      </c>
      <c r="K38" s="207">
        <f>+PROJ!BX98</f>
        <v>2047.673</v>
      </c>
      <c r="L38" s="207">
        <f>+PROJ!BY98</f>
        <v>2016.597</v>
      </c>
      <c r="M38" s="207">
        <f>+PROJ!BZ98</f>
        <v>2010.2651828031489</v>
      </c>
      <c r="N38" s="207">
        <f>+PROJ!CA98</f>
        <v>1995.2862403597649</v>
      </c>
      <c r="O38" s="207">
        <f>+PROJ!CB98</f>
        <v>1998.2717399968112</v>
      </c>
      <c r="P38" s="207">
        <f>+PROJ!CC98</f>
        <v>2005.1974102159861</v>
      </c>
      <c r="Q38" s="207">
        <f>+PROJ!CD98</f>
        <v>2015.7342027889047</v>
      </c>
    </row>
    <row r="39" spans="2:18">
      <c r="B39" s="199" t="s">
        <v>28</v>
      </c>
      <c r="C39" s="207">
        <f>+PROJ!BP105</f>
        <v>-2949.5030000000002</v>
      </c>
      <c r="D39" s="207">
        <f>+PROJ!BQ105</f>
        <v>-2577.7109999999998</v>
      </c>
      <c r="E39" s="207">
        <f>+PROJ!BR105</f>
        <v>-1792.0429999999999</v>
      </c>
      <c r="F39" s="207">
        <f>+PROJ!BS105</f>
        <v>-771.98800000000006</v>
      </c>
      <c r="G39" s="207">
        <f>+PROJ!BT105</f>
        <v>-795.28099999999995</v>
      </c>
      <c r="H39" s="207">
        <f>+PROJ!BU105</f>
        <v>-2150.4740000000002</v>
      </c>
      <c r="I39" s="207">
        <f>+PROJ!BV105</f>
        <v>-2141.4360000000001</v>
      </c>
      <c r="J39" s="207">
        <f>+PROJ!BW105</f>
        <v>-2141.4360000000001</v>
      </c>
      <c r="K39" s="207">
        <f>+PROJ!BX105</f>
        <v>-2503.3389999999999</v>
      </c>
      <c r="L39" s="207">
        <f>+PROJ!BY105</f>
        <v>-1824.7339999999999</v>
      </c>
      <c r="M39" s="207">
        <f>+PROJ!BZ105</f>
        <v>-1867.7496449999999</v>
      </c>
      <c r="N39" s="207">
        <f>+PROJ!CA105</f>
        <v>-2023.6914557475002</v>
      </c>
      <c r="O39" s="207">
        <f>+PROJ!CB105</f>
        <v>-2064.1652848624503</v>
      </c>
      <c r="P39" s="207">
        <f>+PROJ!CC105</f>
        <v>-2105.4485905596989</v>
      </c>
      <c r="Q39" s="207">
        <f>+PROJ!CD105</f>
        <v>-2147.5575623708933</v>
      </c>
    </row>
    <row r="40" spans="2:18">
      <c r="B40" s="199" t="s">
        <v>29</v>
      </c>
      <c r="C40" s="207">
        <f>+PROJ!BP99</f>
        <v>-449.03710000000137</v>
      </c>
      <c r="D40" s="207">
        <f>+PROJ!BQ99</f>
        <v>-816.37489999999934</v>
      </c>
      <c r="E40" s="207">
        <f>+PROJ!BR99</f>
        <v>569.83580000000302</v>
      </c>
      <c r="F40" s="207">
        <f>+PROJ!BS99</f>
        <v>2193.6482000000005</v>
      </c>
      <c r="G40" s="207">
        <f>+PROJ!BT99</f>
        <v>1416.600999999996</v>
      </c>
      <c r="H40" s="207">
        <f>+PROJ!BU99</f>
        <v>30.110899999997855</v>
      </c>
      <c r="I40" s="207">
        <f>+PROJ!BV99</f>
        <v>212.4501000000073</v>
      </c>
      <c r="J40" s="207">
        <f>+PROJ!BW99</f>
        <v>245.55099999999584</v>
      </c>
      <c r="K40" s="207">
        <f>+PROJ!BX99</f>
        <v>-244.71000000000004</v>
      </c>
      <c r="L40" s="207">
        <f>+PROJ!BY99</f>
        <v>-365.17899999999827</v>
      </c>
      <c r="M40" s="207">
        <f>+PROJ!BZ99</f>
        <v>-23.571115830918643</v>
      </c>
      <c r="N40" s="207">
        <f>+PROJ!CA99</f>
        <v>79.056818631890565</v>
      </c>
      <c r="O40" s="207">
        <f>+PROJ!CB99</f>
        <v>56.903918113255713</v>
      </c>
      <c r="P40" s="207">
        <f>+PROJ!CC99</f>
        <v>60.90008790324282</v>
      </c>
      <c r="Q40" s="207">
        <f>+PROJ!CD99</f>
        <v>64.834438218586001</v>
      </c>
    </row>
    <row r="41" spans="2:18">
      <c r="B41" s="199" t="s">
        <v>30</v>
      </c>
      <c r="C41" s="207">
        <f>+C12-C36</f>
        <v>333.16699573140431</v>
      </c>
      <c r="D41" s="207">
        <f t="shared" ref="D41:Q41" si="14">+D12-D36</f>
        <v>367.31245972891747</v>
      </c>
      <c r="E41" s="207">
        <f t="shared" si="14"/>
        <v>450.12849782938065</v>
      </c>
      <c r="F41" s="207">
        <f t="shared" si="14"/>
        <v>475.92435799220129</v>
      </c>
      <c r="G41" s="207">
        <f t="shared" si="14"/>
        <v>523.67043455028988</v>
      </c>
      <c r="H41" s="207">
        <f t="shared" si="14"/>
        <v>565.96924052171153</v>
      </c>
      <c r="I41" s="207">
        <f t="shared" si="14"/>
        <v>539.41928334450949</v>
      </c>
      <c r="J41" s="207">
        <f t="shared" si="14"/>
        <v>501.69651989346858</v>
      </c>
      <c r="K41" s="207">
        <f t="shared" si="14"/>
        <v>420.31877563311036</v>
      </c>
      <c r="L41" s="207">
        <f t="shared" si="14"/>
        <v>417.00887786893963</v>
      </c>
      <c r="M41" s="207">
        <f t="shared" si="14"/>
        <v>353.01962203610401</v>
      </c>
      <c r="N41" s="207">
        <f t="shared" si="14"/>
        <v>315.45614449771892</v>
      </c>
      <c r="O41" s="207">
        <f t="shared" si="14"/>
        <v>307.57197392553144</v>
      </c>
      <c r="P41" s="207">
        <f t="shared" si="14"/>
        <v>297.88185397896177</v>
      </c>
      <c r="Q41" s="207">
        <f t="shared" si="14"/>
        <v>258.14789010475442</v>
      </c>
      <c r="R41" s="223" t="s">
        <v>31</v>
      </c>
    </row>
    <row r="42" spans="2:18" s="208" customFormat="1">
      <c r="B42" s="208" t="s">
        <v>24</v>
      </c>
      <c r="C42" s="216">
        <f>+C37+C38+C39+C40+C41</f>
        <v>4064.8598999999958</v>
      </c>
      <c r="D42" s="216">
        <f t="shared" ref="D42:Q42" si="15">+D37+D38+D39+D40+D41</f>
        <v>2260.7330999999945</v>
      </c>
      <c r="E42" s="216">
        <f t="shared" si="15"/>
        <v>4880.9328000000041</v>
      </c>
      <c r="F42" s="216">
        <f t="shared" si="15"/>
        <v>8564.3992000000035</v>
      </c>
      <c r="G42" s="216">
        <f t="shared" si="15"/>
        <v>10319.812</v>
      </c>
      <c r="H42" s="216">
        <f t="shared" si="15"/>
        <v>6014.5848999999889</v>
      </c>
      <c r="I42" s="216">
        <f t="shared" si="15"/>
        <v>6665.3961000000136</v>
      </c>
      <c r="J42" s="216">
        <f t="shared" si="15"/>
        <v>8645.4070000000029</v>
      </c>
      <c r="K42" s="216">
        <f t="shared" si="15"/>
        <v>8438.1650999999965</v>
      </c>
      <c r="L42" s="216">
        <f t="shared" si="15"/>
        <v>8855.163999999997</v>
      </c>
      <c r="M42" s="216">
        <f t="shared" si="15"/>
        <v>9367.7377486141668</v>
      </c>
      <c r="N42" s="216">
        <f t="shared" si="15"/>
        <v>9175.2667077169699</v>
      </c>
      <c r="O42" s="216">
        <f t="shared" si="15"/>
        <v>9120.399340183154</v>
      </c>
      <c r="P42" s="216">
        <f t="shared" si="15"/>
        <v>9084.9432939685212</v>
      </c>
      <c r="Q42" s="216">
        <f t="shared" si="15"/>
        <v>9014.0472614747814</v>
      </c>
      <c r="R42" s="350">
        <f ca="1">+Q42*(1+Q56)/(Q48-Q56)</f>
        <v>149174.95235528561</v>
      </c>
    </row>
    <row r="43" spans="2:18">
      <c r="B43" s="199" t="s">
        <v>32</v>
      </c>
      <c r="C43" s="207">
        <f>+C10</f>
        <v>-1073.269</v>
      </c>
      <c r="D43" s="207">
        <f t="shared" ref="D43:Q43" si="16">+D10</f>
        <v>-1237.6300000000001</v>
      </c>
      <c r="E43" s="207">
        <f t="shared" si="16"/>
        <v>-1512.7190000000001</v>
      </c>
      <c r="F43" s="207">
        <f t="shared" si="16"/>
        <v>-1534.8139999999999</v>
      </c>
      <c r="G43" s="207">
        <f t="shared" si="16"/>
        <v>-1664.172</v>
      </c>
      <c r="H43" s="207">
        <f t="shared" si="16"/>
        <v>-1739.9290000000001</v>
      </c>
      <c r="I43" s="207">
        <f t="shared" si="16"/>
        <v>-1689.8200000000002</v>
      </c>
      <c r="J43" s="207">
        <f t="shared" si="16"/>
        <v>-1543.9950000000001</v>
      </c>
      <c r="K43" s="207">
        <f t="shared" si="16"/>
        <v>-1307.778</v>
      </c>
      <c r="L43" s="207">
        <f t="shared" si="16"/>
        <v>-1449.816</v>
      </c>
      <c r="M43" s="207">
        <f t="shared" si="16"/>
        <v>-1138.7729743100113</v>
      </c>
      <c r="N43" s="207">
        <f t="shared" si="16"/>
        <v>-1001.4480777705348</v>
      </c>
      <c r="O43" s="207">
        <f t="shared" si="16"/>
        <v>-976.41896484295705</v>
      </c>
      <c r="P43" s="207">
        <f t="shared" si="16"/>
        <v>-945.65667929829283</v>
      </c>
      <c r="Q43" s="207">
        <f t="shared" si="16"/>
        <v>-819.51711144366607</v>
      </c>
    </row>
    <row r="44" spans="2:18">
      <c r="B44" s="199" t="s">
        <v>33</v>
      </c>
      <c r="C44" s="207">
        <f>+PROJ!BP143-PROJ!BO143</f>
        <v>6037.9262000000053</v>
      </c>
      <c r="D44" s="207">
        <f>+PROJ!BQ143-PROJ!BP143</f>
        <v>29.005799999995361</v>
      </c>
      <c r="E44" s="207">
        <f>+PROJ!BR143-PROJ!BQ143</f>
        <v>1335.4349999999977</v>
      </c>
      <c r="F44" s="207">
        <f>+PROJ!BS143-PROJ!BR143</f>
        <v>-465.07200000000012</v>
      </c>
      <c r="G44" s="207">
        <f>+PROJ!BT143-PROJ!BS143</f>
        <v>10316.117000000002</v>
      </c>
      <c r="H44" s="207">
        <f>+PROJ!BU143-PROJ!BT143</f>
        <v>-5130.3899999999994</v>
      </c>
      <c r="I44" s="207">
        <f>+PROJ!BV143-PROJ!BU143</f>
        <v>5155.9619999999995</v>
      </c>
      <c r="J44" s="207">
        <f>+PROJ!BW143-PROJ!BV143</f>
        <v>-2799.2560000000012</v>
      </c>
      <c r="K44" s="207">
        <f>+PROJ!BX143-PROJ!BW143</f>
        <v>-3438.482</v>
      </c>
      <c r="L44" s="207">
        <f>+PROJ!BY143-PROJ!BX143</f>
        <v>-5096.3010000000031</v>
      </c>
      <c r="M44" s="207">
        <f>+PROJ!BZ143-PROJ!BY143</f>
        <v>0</v>
      </c>
      <c r="N44" s="207">
        <f>+PROJ!CA143-PROJ!BZ143</f>
        <v>0</v>
      </c>
      <c r="O44" s="207">
        <f>+PROJ!CB143-PROJ!CA143</f>
        <v>0</v>
      </c>
      <c r="P44" s="207">
        <f>+PROJ!CC143-PROJ!CB143</f>
        <v>0</v>
      </c>
      <c r="Q44" s="207">
        <f>+PROJ!CD143-PROJ!CC143</f>
        <v>0</v>
      </c>
    </row>
    <row r="45" spans="2:18" s="208" customFormat="1">
      <c r="B45" s="208" t="s">
        <v>34</v>
      </c>
      <c r="C45" s="216">
        <f>+C42+C43+C44</f>
        <v>9029.5171000000009</v>
      </c>
      <c r="D45" s="216">
        <f t="shared" ref="D45:Q45" si="17">+D42+D43+D44</f>
        <v>1052.1088999999897</v>
      </c>
      <c r="E45" s="216">
        <f t="shared" si="17"/>
        <v>4703.6488000000018</v>
      </c>
      <c r="F45" s="216">
        <f t="shared" si="17"/>
        <v>6564.5132000000031</v>
      </c>
      <c r="G45" s="216">
        <f t="shared" si="17"/>
        <v>18971.757000000001</v>
      </c>
      <c r="H45" s="216">
        <f t="shared" si="17"/>
        <v>-855.73410000001059</v>
      </c>
      <c r="I45" s="216">
        <f t="shared" si="17"/>
        <v>10131.538100000012</v>
      </c>
      <c r="J45" s="216">
        <f t="shared" si="17"/>
        <v>4302.1560000000018</v>
      </c>
      <c r="K45" s="216">
        <f t="shared" si="17"/>
        <v>3691.9050999999963</v>
      </c>
      <c r="L45" s="216">
        <f t="shared" si="17"/>
        <v>2309.0469999999941</v>
      </c>
      <c r="M45" s="216">
        <f t="shared" si="17"/>
        <v>8228.9647743041551</v>
      </c>
      <c r="N45" s="216">
        <f t="shared" si="17"/>
        <v>8173.8186299464351</v>
      </c>
      <c r="O45" s="216">
        <f t="shared" si="17"/>
        <v>8143.9803753401966</v>
      </c>
      <c r="P45" s="216">
        <f t="shared" si="17"/>
        <v>8139.2866146702281</v>
      </c>
      <c r="Q45" s="216">
        <f t="shared" si="17"/>
        <v>8194.5301500311161</v>
      </c>
    </row>
    <row r="47" spans="2:18">
      <c r="B47" s="200" t="s">
        <v>35</v>
      </c>
      <c r="C47" s="200">
        <f>+C$2</f>
        <v>2016</v>
      </c>
      <c r="D47" s="200">
        <f t="shared" ref="D47:Q47" si="18">+D$2</f>
        <v>2017</v>
      </c>
      <c r="E47" s="200">
        <f t="shared" si="18"/>
        <v>2018</v>
      </c>
      <c r="F47" s="200">
        <f t="shared" si="18"/>
        <v>2019</v>
      </c>
      <c r="G47" s="200">
        <f t="shared" si="18"/>
        <v>2020</v>
      </c>
      <c r="H47" s="200">
        <f t="shared" si="18"/>
        <v>2021</v>
      </c>
      <c r="I47" s="200">
        <f t="shared" si="18"/>
        <v>2022</v>
      </c>
      <c r="J47" s="200">
        <f t="shared" si="18"/>
        <v>2023</v>
      </c>
      <c r="K47" s="200">
        <f t="shared" si="18"/>
        <v>2024</v>
      </c>
      <c r="L47" s="200">
        <f t="shared" si="18"/>
        <v>2025</v>
      </c>
      <c r="M47" s="200">
        <f t="shared" si="18"/>
        <v>2026</v>
      </c>
      <c r="N47" s="200">
        <f t="shared" si="18"/>
        <v>2027</v>
      </c>
      <c r="O47" s="200">
        <f t="shared" si="18"/>
        <v>2028</v>
      </c>
      <c r="P47" s="200">
        <f t="shared" si="18"/>
        <v>2029</v>
      </c>
      <c r="Q47" s="200">
        <f t="shared" si="18"/>
        <v>2030</v>
      </c>
    </row>
    <row r="48" spans="2:18">
      <c r="K48" s="344" t="s">
        <v>35</v>
      </c>
      <c r="L48" s="222"/>
      <c r="M48" s="222">
        <f t="shared" ref="M48" ca="1" si="19">+(M49*M21+M50*M22)/M23</f>
        <v>9.5712927514446239E-2</v>
      </c>
      <c r="N48" s="222">
        <f t="shared" ref="N48:Q48" ca="1" si="20">+(N49*N21+N50*N22)/N23</f>
        <v>9.5439702056717132E-2</v>
      </c>
      <c r="O48" s="222">
        <f t="shared" ca="1" si="20"/>
        <v>9.6205439369270257E-2</v>
      </c>
      <c r="P48" s="222">
        <f t="shared" ca="1" si="20"/>
        <v>9.6971743064525454E-2</v>
      </c>
      <c r="Q48" s="222">
        <f t="shared" ca="1" si="20"/>
        <v>9.75409210348296E-2</v>
      </c>
    </row>
    <row r="49" spans="3:18">
      <c r="K49" s="345" t="s">
        <v>36</v>
      </c>
      <c r="L49" s="219"/>
      <c r="M49" s="219">
        <f t="shared" ref="M49" si="21">M57+M58*M59</f>
        <v>0.1008</v>
      </c>
      <c r="N49" s="219">
        <f t="shared" ref="N49:Q49" si="22">N57+N58*N59</f>
        <v>0.1008</v>
      </c>
      <c r="O49" s="219">
        <f t="shared" si="22"/>
        <v>0.1008</v>
      </c>
      <c r="P49" s="219">
        <f t="shared" si="22"/>
        <v>0.1008</v>
      </c>
      <c r="Q49" s="219">
        <f t="shared" si="22"/>
        <v>0.1008</v>
      </c>
    </row>
    <row r="50" spans="3:18">
      <c r="K50" s="345" t="s">
        <v>37</v>
      </c>
      <c r="L50" s="217"/>
      <c r="M50" s="217">
        <f t="shared" ref="M50" si="23">+M52*(1+M53)</f>
        <v>5.2470826614076087E-2</v>
      </c>
      <c r="N50" s="217">
        <f t="shared" ref="N50:Q50" si="24">+N52*(1+N53)</f>
        <v>4.3721934403237933E-2</v>
      </c>
      <c r="O50" s="217">
        <f t="shared" si="24"/>
        <v>4.5145563026777961E-2</v>
      </c>
      <c r="P50" s="217">
        <f t="shared" si="24"/>
        <v>4.6967922857414447E-2</v>
      </c>
      <c r="Q50" s="217">
        <f t="shared" si="24"/>
        <v>4.5683258535520202E-2</v>
      </c>
    </row>
    <row r="51" spans="3:18">
      <c r="K51" s="345"/>
      <c r="L51" s="217"/>
      <c r="M51" s="217"/>
      <c r="N51" s="217"/>
      <c r="O51" s="217"/>
      <c r="P51" s="217"/>
      <c r="Q51" s="217"/>
    </row>
    <row r="52" spans="3:18">
      <c r="K52" s="345" t="s">
        <v>32</v>
      </c>
      <c r="L52" s="217"/>
      <c r="M52" s="217">
        <f>+PROJ!BZ147</f>
        <v>7.461583403472706E-2</v>
      </c>
      <c r="N52" s="217">
        <f>+PROJ!CA147</f>
        <v>6.224316964383312E-2</v>
      </c>
      <c r="O52" s="217">
        <f>+PROJ!CB147</f>
        <v>6.5436509549756147E-2</v>
      </c>
      <c r="P52" s="217">
        <f>+PROJ!CC147</f>
        <v>6.8533621071049433E-2</v>
      </c>
      <c r="Q52" s="217">
        <f>+PROJ!CD147</f>
        <v>6.7707283574841459E-2</v>
      </c>
    </row>
    <row r="53" spans="3:18">
      <c r="K53" s="345" t="s">
        <v>9</v>
      </c>
      <c r="L53" s="217"/>
      <c r="M53" s="217">
        <f t="shared" ref="M53:Q53" si="25">+D13</f>
        <v>-0.29678697165462814</v>
      </c>
      <c r="N53" s="217">
        <f t="shared" si="25"/>
        <v>-0.29756253331212251</v>
      </c>
      <c r="O53" s="217">
        <f t="shared" si="25"/>
        <v>-0.31008601562938648</v>
      </c>
      <c r="P53" s="217">
        <f t="shared" si="25"/>
        <v>-0.31467326367123699</v>
      </c>
      <c r="Q53" s="217">
        <f t="shared" si="25"/>
        <v>-0.32528295150072889</v>
      </c>
    </row>
    <row r="54" spans="3:18">
      <c r="K54" s="345"/>
      <c r="L54" s="217"/>
      <c r="M54" s="217"/>
      <c r="N54" s="217"/>
      <c r="O54" s="217"/>
      <c r="P54" s="217"/>
      <c r="Q54" s="217"/>
    </row>
    <row r="55" spans="3:18">
      <c r="C55" s="166"/>
      <c r="D55" s="166"/>
      <c r="E55" s="220"/>
      <c r="K55" s="346" t="s">
        <v>38</v>
      </c>
      <c r="L55" s="218"/>
      <c r="M55" s="638">
        <f>+M57-M56</f>
        <v>2.980000000000009E-2</v>
      </c>
      <c r="N55" s="638">
        <f t="shared" ref="N55:Q55" si="26">+N57-N56</f>
        <v>2.980000000000009E-2</v>
      </c>
      <c r="O55" s="638">
        <f t="shared" si="26"/>
        <v>2.980000000000009E-2</v>
      </c>
      <c r="P55" s="638">
        <f t="shared" si="26"/>
        <v>2.980000000000009E-2</v>
      </c>
      <c r="Q55" s="638">
        <f t="shared" si="26"/>
        <v>2.980000000000009E-2</v>
      </c>
    </row>
    <row r="56" spans="3:18">
      <c r="C56" s="166"/>
      <c r="D56" s="166"/>
      <c r="E56" s="220"/>
      <c r="K56" s="347" t="s">
        <v>39</v>
      </c>
      <c r="L56" s="239"/>
      <c r="M56" s="239">
        <f>+macro!DN83</f>
        <v>3.499999999999992E-2</v>
      </c>
      <c r="N56" s="239">
        <f>+macro!DO83</f>
        <v>3.499999999999992E-2</v>
      </c>
      <c r="O56" s="239">
        <f>+macro!DP83</f>
        <v>3.499999999999992E-2</v>
      </c>
      <c r="P56" s="239">
        <f>+macro!DQ83</f>
        <v>3.499999999999992E-2</v>
      </c>
      <c r="Q56" s="239">
        <f>+macro!DR83</f>
        <v>3.499999999999992E-2</v>
      </c>
    </row>
    <row r="57" spans="3:18">
      <c r="C57" s="166"/>
      <c r="D57" s="166"/>
      <c r="E57" s="219"/>
      <c r="K57" s="346" t="s">
        <v>40</v>
      </c>
      <c r="L57" s="219"/>
      <c r="M57" s="218">
        <f>+macro!DN51</f>
        <v>6.480000000000001E-2</v>
      </c>
      <c r="N57" s="218">
        <f>+macro!DO51</f>
        <v>6.480000000000001E-2</v>
      </c>
      <c r="O57" s="218">
        <f>+macro!DP51</f>
        <v>6.480000000000001E-2</v>
      </c>
      <c r="P57" s="218">
        <f>+macro!DQ51</f>
        <v>6.480000000000001E-2</v>
      </c>
      <c r="Q57" s="218">
        <f>+macro!DR51</f>
        <v>6.480000000000001E-2</v>
      </c>
    </row>
    <row r="58" spans="3:18">
      <c r="C58" s="166"/>
      <c r="D58" s="166"/>
      <c r="E58" s="220"/>
      <c r="K58" s="346" t="s">
        <v>41</v>
      </c>
      <c r="L58" s="218"/>
      <c r="M58" s="218">
        <v>4.4999999999999998E-2</v>
      </c>
      <c r="N58" s="218">
        <v>4.4999999999999998E-2</v>
      </c>
      <c r="O58" s="218">
        <v>4.4999999999999998E-2</v>
      </c>
      <c r="P58" s="218">
        <v>4.4999999999999998E-2</v>
      </c>
      <c r="Q58" s="218">
        <v>4.4999999999999998E-2</v>
      </c>
    </row>
    <row r="59" spans="3:18">
      <c r="C59" s="166"/>
      <c r="D59" s="166"/>
      <c r="E59" s="221"/>
      <c r="K59" s="346" t="s">
        <v>42</v>
      </c>
      <c r="L59" s="240"/>
      <c r="M59" s="240">
        <v>0.8</v>
      </c>
      <c r="N59" s="240">
        <v>0.8</v>
      </c>
      <c r="O59" s="240">
        <v>0.8</v>
      </c>
      <c r="P59" s="240">
        <v>0.8</v>
      </c>
      <c r="Q59" s="240">
        <v>0.8</v>
      </c>
    </row>
    <row r="60" spans="3:18">
      <c r="K60" s="348"/>
      <c r="L60" s="212"/>
      <c r="M60" s="212"/>
      <c r="N60" s="212"/>
      <c r="O60" s="212"/>
      <c r="P60" s="212"/>
      <c r="Q60" s="212"/>
      <c r="R60" s="212"/>
    </row>
    <row r="61" spans="3:18">
      <c r="K61" s="348"/>
      <c r="L61" s="212"/>
      <c r="M61" s="212">
        <v>1</v>
      </c>
      <c r="N61" s="212">
        <f ca="1">+M61*(1+N48)</f>
        <v>1.095439702056717</v>
      </c>
      <c r="O61" s="212">
        <f ca="1">+N61*(1+O48)</f>
        <v>1.2008269598956258</v>
      </c>
      <c r="P61" s="212">
        <f ca="1">+O61*(1+P48)</f>
        <v>1.3172732433155796</v>
      </c>
      <c r="Q61" s="212">
        <f ca="1">+P61*(1+Q48)</f>
        <v>1.4457612887231186</v>
      </c>
      <c r="R61" s="212">
        <f ca="1">+Q61</f>
        <v>1.4457612887231186</v>
      </c>
    </row>
    <row r="62" spans="3:18" ht="13.5" thickBot="1">
      <c r="L62" s="349" t="s">
        <v>43</v>
      </c>
      <c r="M62" s="224">
        <f t="shared" ref="M62:Q62" si="27">+M42/M61</f>
        <v>9367.7377486141668</v>
      </c>
      <c r="N62" s="224">
        <f t="shared" ca="1" si="27"/>
        <v>8375.8756328533309</v>
      </c>
      <c r="O62" s="224">
        <f t="shared" ca="1" si="27"/>
        <v>7595.0987484290708</v>
      </c>
      <c r="P62" s="224">
        <f t="shared" ca="1" si="27"/>
        <v>6896.7796469483428</v>
      </c>
      <c r="Q62" s="224">
        <f t="shared" ca="1" si="27"/>
        <v>6234.8102219806251</v>
      </c>
      <c r="R62" s="225">
        <f ca="1">+R42/R61</f>
        <v>103180.90096812275</v>
      </c>
    </row>
    <row r="63" spans="3:18">
      <c r="L63" s="235" t="s">
        <v>16</v>
      </c>
      <c r="M63" s="236">
        <f ca="1">+SUM(N62:R62)</f>
        <v>132283.46521833411</v>
      </c>
    </row>
    <row r="64" spans="3:18">
      <c r="L64" s="234" t="s">
        <v>15</v>
      </c>
      <c r="M64" s="227">
        <f>+M22</f>
        <v>14169.331570695842</v>
      </c>
    </row>
    <row r="65" spans="12:13">
      <c r="L65" s="237" t="s">
        <v>44</v>
      </c>
      <c r="M65" s="238">
        <f ca="1">+M29*M21</f>
        <v>8959.6540267399687</v>
      </c>
    </row>
    <row r="66" spans="12:13">
      <c r="L66" s="232" t="s">
        <v>45</v>
      </c>
      <c r="M66" s="233">
        <f ca="1">+M63-M64+M65</f>
        <v>127073.78767437824</v>
      </c>
    </row>
    <row r="67" spans="12:13" ht="13.5" thickBot="1">
      <c r="L67" s="226" t="s">
        <v>46</v>
      </c>
      <c r="M67" s="227" cm="1">
        <f t="array" aca="1" ref="M67" ca="1">+_FV(G1,"Shares outstanding",TRUE)/1000000</f>
        <v>3000.6190000000001</v>
      </c>
    </row>
    <row r="68" spans="12:13">
      <c r="L68" s="229" t="s">
        <v>47</v>
      </c>
      <c r="M68" s="230">
        <f ca="1">+M66/M67</f>
        <v>42.349191175013637</v>
      </c>
    </row>
    <row r="69" spans="12:13" ht="13.5" thickBot="1">
      <c r="L69" s="231" t="s">
        <v>48</v>
      </c>
      <c r="M69" s="241">
        <f ca="1">+M68/$M$1-1</f>
        <v>5.5037149352606729E-2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A177"/>
  <sheetViews>
    <sheetView showGridLines="0" zoomScale="115" zoomScaleNormal="115" workbookViewId="0">
      <pane xSplit="1" ySplit="2" topLeftCell="AK3" activePane="bottomRight" state="frozen"/>
      <selection pane="topRight" activeCell="B1" sqref="B1"/>
      <selection pane="bottomLeft" activeCell="A3" sqref="A3"/>
      <selection pane="bottomRight" activeCell="AN5" sqref="AN5"/>
    </sheetView>
  </sheetViews>
  <sheetFormatPr defaultColWidth="8.28515625" defaultRowHeight="13.5" customHeight="1" outlineLevelCol="1"/>
  <cols>
    <col min="1" max="1" width="26.5703125" style="260" bestFit="1" customWidth="1"/>
    <col min="2" max="9" width="8.28515625" style="260" outlineLevel="1"/>
    <col min="10" max="36" width="8.28515625" style="260"/>
    <col min="37" max="41" width="8" style="260" customWidth="1"/>
    <col min="42" max="45" width="8.28515625" style="260" customWidth="1"/>
    <col min="46" max="48" width="8.28515625" style="260"/>
    <col min="49" max="71" width="8.28515625" style="260" hidden="1" customWidth="1"/>
    <col min="72" max="72" width="7.5703125" style="260" bestFit="1" customWidth="1"/>
    <col min="73" max="74" width="8.28515625" style="260" bestFit="1" customWidth="1"/>
    <col min="75" max="75" width="10.42578125" style="260" bestFit="1" customWidth="1"/>
    <col min="76" max="78" width="11" style="260" bestFit="1" customWidth="1"/>
    <col min="79" max="16384" width="8.28515625" style="260"/>
  </cols>
  <sheetData>
    <row r="1" spans="1:82" ht="13.5" customHeight="1">
      <c r="A1" s="319"/>
      <c r="B1" s="243">
        <f t="shared" ref="B1:AJ1" si="0">+YEAR(B2)</f>
        <v>2016</v>
      </c>
      <c r="C1" s="243">
        <f t="shared" si="0"/>
        <v>2016</v>
      </c>
      <c r="D1" s="243">
        <f t="shared" si="0"/>
        <v>2016</v>
      </c>
      <c r="E1" s="243">
        <f t="shared" si="0"/>
        <v>2016</v>
      </c>
      <c r="F1" s="243">
        <f t="shared" si="0"/>
        <v>2017</v>
      </c>
      <c r="G1" s="243">
        <f t="shared" si="0"/>
        <v>2017</v>
      </c>
      <c r="H1" s="243">
        <f t="shared" si="0"/>
        <v>2017</v>
      </c>
      <c r="I1" s="243">
        <f t="shared" si="0"/>
        <v>2017</v>
      </c>
      <c r="J1" s="243">
        <f t="shared" si="0"/>
        <v>2018</v>
      </c>
      <c r="K1" s="243">
        <f t="shared" si="0"/>
        <v>2018</v>
      </c>
      <c r="L1" s="243">
        <f t="shared" si="0"/>
        <v>2018</v>
      </c>
      <c r="M1" s="243">
        <f t="shared" si="0"/>
        <v>2018</v>
      </c>
      <c r="N1" s="243">
        <f t="shared" si="0"/>
        <v>2019</v>
      </c>
      <c r="O1" s="243">
        <f t="shared" si="0"/>
        <v>2019</v>
      </c>
      <c r="P1" s="243">
        <f t="shared" si="0"/>
        <v>2019</v>
      </c>
      <c r="Q1" s="243">
        <f t="shared" si="0"/>
        <v>2019</v>
      </c>
      <c r="R1" s="243">
        <f t="shared" si="0"/>
        <v>2020</v>
      </c>
      <c r="S1" s="243">
        <f t="shared" si="0"/>
        <v>2020</v>
      </c>
      <c r="T1" s="243">
        <f t="shared" si="0"/>
        <v>2020</v>
      </c>
      <c r="U1" s="243">
        <f t="shared" si="0"/>
        <v>2020</v>
      </c>
      <c r="V1" s="243">
        <f t="shared" si="0"/>
        <v>2021</v>
      </c>
      <c r="W1" s="243">
        <f t="shared" si="0"/>
        <v>2021</v>
      </c>
      <c r="X1" s="243">
        <f t="shared" si="0"/>
        <v>2021</v>
      </c>
      <c r="Y1" s="243">
        <f t="shared" si="0"/>
        <v>2021</v>
      </c>
      <c r="Z1" s="243">
        <f t="shared" si="0"/>
        <v>2022</v>
      </c>
      <c r="AA1" s="243">
        <f t="shared" si="0"/>
        <v>2022</v>
      </c>
      <c r="AB1" s="243">
        <f t="shared" si="0"/>
        <v>2022</v>
      </c>
      <c r="AC1" s="243">
        <f t="shared" si="0"/>
        <v>2022</v>
      </c>
      <c r="AD1" s="243">
        <f t="shared" si="0"/>
        <v>2023</v>
      </c>
      <c r="AE1" s="243">
        <f t="shared" si="0"/>
        <v>2023</v>
      </c>
      <c r="AF1" s="243">
        <f t="shared" si="0"/>
        <v>2023</v>
      </c>
      <c r="AG1" s="243">
        <f t="shared" si="0"/>
        <v>2023</v>
      </c>
      <c r="AH1" s="243">
        <f t="shared" si="0"/>
        <v>2024</v>
      </c>
      <c r="AI1" s="243">
        <f t="shared" si="0"/>
        <v>2024</v>
      </c>
      <c r="AJ1" s="243">
        <f t="shared" si="0"/>
        <v>2024</v>
      </c>
      <c r="AK1" s="243">
        <f>+YEAR(AK2)</f>
        <v>2024</v>
      </c>
      <c r="AL1" s="243">
        <f>+YEAR(AL2)</f>
        <v>2025</v>
      </c>
      <c r="AM1" s="243">
        <f>+YEAR(AM2)</f>
        <v>2025</v>
      </c>
      <c r="AN1" s="243">
        <f>+YEAR(AN2)</f>
        <v>2025</v>
      </c>
      <c r="AO1" s="243">
        <f>+YEAR(AO2)</f>
        <v>2025</v>
      </c>
      <c r="AP1" s="243">
        <f t="shared" ref="AP1:AS1" si="1">+YEAR(AP2)</f>
        <v>2026</v>
      </c>
      <c r="AQ1" s="243">
        <f t="shared" si="1"/>
        <v>2026</v>
      </c>
      <c r="AR1" s="243">
        <f t="shared" si="1"/>
        <v>2026</v>
      </c>
      <c r="AS1" s="243">
        <f t="shared" si="1"/>
        <v>2026</v>
      </c>
      <c r="AU1" s="243">
        <v>2025</v>
      </c>
      <c r="AW1" s="320">
        <v>1997</v>
      </c>
      <c r="AX1" s="243">
        <f>+AW1+1</f>
        <v>1998</v>
      </c>
      <c r="AY1" s="243">
        <f t="shared" ref="AY1:BS1" si="2">+AX1+1</f>
        <v>1999</v>
      </c>
      <c r="AZ1" s="243">
        <f t="shared" si="2"/>
        <v>2000</v>
      </c>
      <c r="BA1" s="243">
        <f t="shared" si="2"/>
        <v>2001</v>
      </c>
      <c r="BB1" s="243">
        <f t="shared" si="2"/>
        <v>2002</v>
      </c>
      <c r="BC1" s="243">
        <f t="shared" si="2"/>
        <v>2003</v>
      </c>
      <c r="BD1" s="243">
        <f t="shared" si="2"/>
        <v>2004</v>
      </c>
      <c r="BE1" s="243">
        <f t="shared" si="2"/>
        <v>2005</v>
      </c>
      <c r="BF1" s="243">
        <f t="shared" si="2"/>
        <v>2006</v>
      </c>
      <c r="BG1" s="243">
        <f t="shared" si="2"/>
        <v>2007</v>
      </c>
      <c r="BH1" s="243">
        <f t="shared" si="2"/>
        <v>2008</v>
      </c>
      <c r="BI1" s="243">
        <f t="shared" si="2"/>
        <v>2009</v>
      </c>
      <c r="BJ1" s="243">
        <f t="shared" si="2"/>
        <v>2010</v>
      </c>
      <c r="BK1" s="243">
        <f t="shared" si="2"/>
        <v>2011</v>
      </c>
      <c r="BL1" s="243">
        <f t="shared" si="2"/>
        <v>2012</v>
      </c>
      <c r="BM1" s="243">
        <f t="shared" si="2"/>
        <v>2013</v>
      </c>
      <c r="BN1" s="243">
        <f t="shared" si="2"/>
        <v>2014</v>
      </c>
      <c r="BO1" s="243">
        <f t="shared" si="2"/>
        <v>2015</v>
      </c>
      <c r="BP1" s="243">
        <f t="shared" si="2"/>
        <v>2016</v>
      </c>
      <c r="BQ1" s="243">
        <f t="shared" si="2"/>
        <v>2017</v>
      </c>
      <c r="BR1" s="243">
        <f t="shared" si="2"/>
        <v>2018</v>
      </c>
      <c r="BS1" s="243">
        <f t="shared" si="2"/>
        <v>2019</v>
      </c>
      <c r="BT1" s="243">
        <f t="shared" ref="BT1:CD1" si="3">+YEAR(BT2)</f>
        <v>2020</v>
      </c>
      <c r="BU1" s="243">
        <f t="shared" si="3"/>
        <v>2021</v>
      </c>
      <c r="BV1" s="243">
        <f t="shared" si="3"/>
        <v>2022</v>
      </c>
      <c r="BW1" s="243">
        <f t="shared" si="3"/>
        <v>2023</v>
      </c>
      <c r="BX1" s="243">
        <f t="shared" si="3"/>
        <v>2024</v>
      </c>
      <c r="BY1" s="243">
        <f t="shared" si="3"/>
        <v>2025</v>
      </c>
      <c r="BZ1" s="243">
        <f t="shared" si="3"/>
        <v>2026</v>
      </c>
      <c r="CA1" s="243">
        <f t="shared" si="3"/>
        <v>2027</v>
      </c>
      <c r="CB1" s="243">
        <f t="shared" si="3"/>
        <v>2028</v>
      </c>
      <c r="CC1" s="243">
        <f t="shared" si="3"/>
        <v>2029</v>
      </c>
      <c r="CD1" s="243">
        <f t="shared" si="3"/>
        <v>2030</v>
      </c>
    </row>
    <row r="2" spans="1:82" ht="13.5" customHeight="1">
      <c r="A2" s="321" t="s">
        <v>49</v>
      </c>
      <c r="B2" s="244">
        <v>42459</v>
      </c>
      <c r="C2" s="244">
        <f>+EOMONTH(B2,3)</f>
        <v>42551</v>
      </c>
      <c r="D2" s="244">
        <f t="shared" ref="D2:AK2" si="4">+EOMONTH(C2,3)</f>
        <v>42643</v>
      </c>
      <c r="E2" s="244">
        <f t="shared" si="4"/>
        <v>42735</v>
      </c>
      <c r="F2" s="244">
        <f t="shared" si="4"/>
        <v>42825</v>
      </c>
      <c r="G2" s="244">
        <f t="shared" si="4"/>
        <v>42916</v>
      </c>
      <c r="H2" s="244">
        <f t="shared" si="4"/>
        <v>43008</v>
      </c>
      <c r="I2" s="244">
        <f t="shared" si="4"/>
        <v>43100</v>
      </c>
      <c r="J2" s="244">
        <f t="shared" si="4"/>
        <v>43190</v>
      </c>
      <c r="K2" s="244">
        <f t="shared" si="4"/>
        <v>43281</v>
      </c>
      <c r="L2" s="244">
        <f t="shared" si="4"/>
        <v>43373</v>
      </c>
      <c r="M2" s="244">
        <f t="shared" si="4"/>
        <v>43465</v>
      </c>
      <c r="N2" s="244">
        <f t="shared" si="4"/>
        <v>43555</v>
      </c>
      <c r="O2" s="244">
        <f t="shared" si="4"/>
        <v>43646</v>
      </c>
      <c r="P2" s="244">
        <f t="shared" si="4"/>
        <v>43738</v>
      </c>
      <c r="Q2" s="244">
        <f t="shared" si="4"/>
        <v>43830</v>
      </c>
      <c r="R2" s="244">
        <f t="shared" si="4"/>
        <v>43921</v>
      </c>
      <c r="S2" s="244">
        <f t="shared" si="4"/>
        <v>44012</v>
      </c>
      <c r="T2" s="244">
        <f t="shared" si="4"/>
        <v>44104</v>
      </c>
      <c r="U2" s="244">
        <f t="shared" si="4"/>
        <v>44196</v>
      </c>
      <c r="V2" s="244">
        <f t="shared" si="4"/>
        <v>44286</v>
      </c>
      <c r="W2" s="244">
        <f t="shared" si="4"/>
        <v>44377</v>
      </c>
      <c r="X2" s="244">
        <f t="shared" si="4"/>
        <v>44469</v>
      </c>
      <c r="Y2" s="244">
        <f t="shared" si="4"/>
        <v>44561</v>
      </c>
      <c r="Z2" s="244">
        <f t="shared" si="4"/>
        <v>44651</v>
      </c>
      <c r="AA2" s="244">
        <f t="shared" si="4"/>
        <v>44742</v>
      </c>
      <c r="AB2" s="244">
        <f t="shared" si="4"/>
        <v>44834</v>
      </c>
      <c r="AC2" s="244">
        <f t="shared" si="4"/>
        <v>44926</v>
      </c>
      <c r="AD2" s="244">
        <f t="shared" si="4"/>
        <v>45016</v>
      </c>
      <c r="AE2" s="244">
        <f t="shared" si="4"/>
        <v>45107</v>
      </c>
      <c r="AF2" s="244">
        <f t="shared" si="4"/>
        <v>45199</v>
      </c>
      <c r="AG2" s="244">
        <f t="shared" si="4"/>
        <v>45291</v>
      </c>
      <c r="AH2" s="244">
        <f t="shared" si="4"/>
        <v>45382</v>
      </c>
      <c r="AI2" s="244">
        <f t="shared" si="4"/>
        <v>45473</v>
      </c>
      <c r="AJ2" s="244">
        <f t="shared" si="4"/>
        <v>45565</v>
      </c>
      <c r="AK2" s="244">
        <f t="shared" si="4"/>
        <v>45657</v>
      </c>
      <c r="AL2" s="244">
        <f>+EOMONTH(AK2,3)</f>
        <v>45747</v>
      </c>
      <c r="AM2" s="244">
        <f>+EOMONTH(AL2,3)</f>
        <v>45838</v>
      </c>
      <c r="AN2" s="244">
        <f>+EOMONTH(AM2,3)</f>
        <v>45930</v>
      </c>
      <c r="AO2" s="244">
        <f>+EOMONTH(AN2,3)</f>
        <v>46022</v>
      </c>
      <c r="AP2" s="244">
        <f t="shared" ref="AP2:AS2" si="5">+EOMONTH(AO2,3)</f>
        <v>46112</v>
      </c>
      <c r="AQ2" s="244">
        <f t="shared" si="5"/>
        <v>46203</v>
      </c>
      <c r="AR2" s="244">
        <f t="shared" si="5"/>
        <v>46295</v>
      </c>
      <c r="AS2" s="244">
        <f t="shared" si="5"/>
        <v>46387</v>
      </c>
      <c r="AT2" s="322"/>
      <c r="AU2" s="244">
        <v>46022</v>
      </c>
      <c r="AV2" s="322"/>
      <c r="AW2" s="244">
        <v>35795</v>
      </c>
      <c r="AX2" s="244">
        <v>36160</v>
      </c>
      <c r="AY2" s="244">
        <v>36525</v>
      </c>
      <c r="AZ2" s="244">
        <v>36891</v>
      </c>
      <c r="BA2" s="244">
        <v>37256</v>
      </c>
      <c r="BB2" s="244">
        <v>37621</v>
      </c>
      <c r="BC2" s="244">
        <v>37986</v>
      </c>
      <c r="BD2" s="244">
        <v>38352</v>
      </c>
      <c r="BE2" s="244">
        <v>38717</v>
      </c>
      <c r="BF2" s="244">
        <v>39082</v>
      </c>
      <c r="BG2" s="244">
        <v>39447</v>
      </c>
      <c r="BH2" s="244">
        <v>39813</v>
      </c>
      <c r="BI2" s="244">
        <v>40178</v>
      </c>
      <c r="BJ2" s="244">
        <v>40543</v>
      </c>
      <c r="BK2" s="244">
        <v>40908</v>
      </c>
      <c r="BL2" s="244">
        <v>41274</v>
      </c>
      <c r="BM2" s="244">
        <v>41639</v>
      </c>
      <c r="BN2" s="244">
        <v>42004</v>
      </c>
      <c r="BO2" s="244">
        <v>42369</v>
      </c>
      <c r="BP2" s="244">
        <v>42735</v>
      </c>
      <c r="BQ2" s="244">
        <f>+EOMONTH(BP2,12)</f>
        <v>43100</v>
      </c>
      <c r="BR2" s="244">
        <f t="shared" ref="BR2:CD2" si="6">+EOMONTH(BQ2,12)</f>
        <v>43465</v>
      </c>
      <c r="BS2" s="244">
        <f t="shared" si="6"/>
        <v>43830</v>
      </c>
      <c r="BT2" s="244">
        <f t="shared" si="6"/>
        <v>44196</v>
      </c>
      <c r="BU2" s="244">
        <f t="shared" si="6"/>
        <v>44561</v>
      </c>
      <c r="BV2" s="244">
        <f t="shared" si="6"/>
        <v>44926</v>
      </c>
      <c r="BW2" s="244">
        <f t="shared" si="6"/>
        <v>45291</v>
      </c>
      <c r="BX2" s="244">
        <f t="shared" si="6"/>
        <v>45657</v>
      </c>
      <c r="BY2" s="244">
        <f t="shared" si="6"/>
        <v>46022</v>
      </c>
      <c r="BZ2" s="244">
        <f t="shared" si="6"/>
        <v>46387</v>
      </c>
      <c r="CA2" s="244">
        <f t="shared" si="6"/>
        <v>46752</v>
      </c>
      <c r="CB2" s="244">
        <f t="shared" si="6"/>
        <v>47118</v>
      </c>
      <c r="CC2" s="244">
        <f t="shared" si="6"/>
        <v>47483</v>
      </c>
      <c r="CD2" s="244">
        <f t="shared" si="6"/>
        <v>47848</v>
      </c>
    </row>
    <row r="3" spans="1:82" ht="13.5" customHeight="1">
      <c r="A3" s="260" t="s">
        <v>50</v>
      </c>
      <c r="B3" s="245">
        <v>8728.3169999999991</v>
      </c>
      <c r="C3" s="245">
        <v>8831.3529999999992</v>
      </c>
      <c r="D3" s="245">
        <v>8719.4570000000003</v>
      </c>
      <c r="E3" s="245">
        <v>9381.1679999999997</v>
      </c>
      <c r="F3" s="245">
        <v>9530.5079999999998</v>
      </c>
      <c r="G3" s="245">
        <v>9605.9050000000007</v>
      </c>
      <c r="H3" s="245">
        <v>9197.259</v>
      </c>
      <c r="I3" s="245">
        <v>9432.0879999999997</v>
      </c>
      <c r="J3" s="245">
        <v>10207.266</v>
      </c>
      <c r="K3" s="245">
        <v>10588.598</v>
      </c>
      <c r="L3" s="245">
        <v>9897</v>
      </c>
      <c r="M3" s="245">
        <v>10334</v>
      </c>
      <c r="N3" s="245">
        <v>11014</v>
      </c>
      <c r="O3" s="245">
        <v>11285.929</v>
      </c>
      <c r="P3" s="245">
        <v>10400</v>
      </c>
      <c r="Q3" s="245">
        <v>10801</v>
      </c>
      <c r="R3" s="245">
        <v>11692.237999999999</v>
      </c>
      <c r="S3" s="245">
        <v>12337.259</v>
      </c>
      <c r="T3" s="245">
        <v>11097.119000000001</v>
      </c>
      <c r="U3" s="245">
        <v>11576.279</v>
      </c>
      <c r="V3" s="245">
        <v>12108.978999999999</v>
      </c>
      <c r="W3" s="245">
        <v>11722.218000000001</v>
      </c>
      <c r="X3" s="245">
        <v>11343.49</v>
      </c>
      <c r="Y3" s="245">
        <v>11719.276</v>
      </c>
      <c r="Z3" s="245">
        <v>12574</v>
      </c>
      <c r="AA3" s="245">
        <v>12894.841</v>
      </c>
      <c r="AB3" s="245">
        <v>12794</v>
      </c>
      <c r="AC3" s="245">
        <v>12792.035</v>
      </c>
      <c r="AD3" s="245">
        <v>13549</v>
      </c>
      <c r="AE3" s="245">
        <v>13714.072</v>
      </c>
      <c r="AF3" s="245">
        <v>12672.558999999999</v>
      </c>
      <c r="AG3" s="245">
        <v>13371.423000000001</v>
      </c>
      <c r="AH3" s="245">
        <v>13789.576999999999</v>
      </c>
      <c r="AI3" s="245">
        <v>14068</v>
      </c>
      <c r="AJ3" s="245">
        <v>13154.636</v>
      </c>
      <c r="AK3" s="245">
        <v>13770.504000000001</v>
      </c>
      <c r="AL3" s="245">
        <v>13833</v>
      </c>
      <c r="AM3" s="245">
        <v>14070</v>
      </c>
      <c r="AN3" s="245">
        <v>13410</v>
      </c>
      <c r="AO3" s="245">
        <v>14057.927</v>
      </c>
      <c r="AP3" s="276">
        <f>+FAT!AP11</f>
        <v>14109.66</v>
      </c>
      <c r="AQ3" s="276">
        <f>+FAT!AQ11</f>
        <v>14421.749999999998</v>
      </c>
      <c r="AR3" s="276">
        <f>+FAT!AR11</f>
        <v>13745.249999999998</v>
      </c>
      <c r="AS3" s="276">
        <f>+FAT!AS11</f>
        <v>14409.375174999999</v>
      </c>
      <c r="AT3" s="323"/>
      <c r="AU3" s="276">
        <v>13977.06156</v>
      </c>
      <c r="AV3" s="418">
        <f>+AO3/AU3-1</f>
        <v>5.7855823023218456E-3</v>
      </c>
      <c r="AW3" s="245">
        <v>10305.475</v>
      </c>
      <c r="AX3" s="245">
        <v>12289.726000000001</v>
      </c>
      <c r="AY3" s="245">
        <v>13868.222</v>
      </c>
      <c r="AZ3" s="245">
        <v>15906.374</v>
      </c>
      <c r="BA3" s="245">
        <v>15633.955</v>
      </c>
      <c r="BB3" s="245">
        <v>16096.04</v>
      </c>
      <c r="BC3" s="245">
        <v>17100.169000000002</v>
      </c>
      <c r="BD3" s="245">
        <v>19798.909</v>
      </c>
      <c r="BE3" s="245">
        <v>21983.114000000001</v>
      </c>
      <c r="BF3" s="245">
        <v>20084.472000000002</v>
      </c>
      <c r="BG3" s="245">
        <v>21480.233</v>
      </c>
      <c r="BH3" s="245">
        <v>23051.522000000001</v>
      </c>
      <c r="BI3" s="245">
        <v>24702.206999999999</v>
      </c>
      <c r="BJ3" s="245">
        <v>26196.519</v>
      </c>
      <c r="BK3" s="245">
        <v>26732.383000000002</v>
      </c>
      <c r="BL3" s="245">
        <v>29288.626</v>
      </c>
      <c r="BM3" s="245">
        <v>29677.516</v>
      </c>
      <c r="BN3" s="245">
        <v>29106.852999999999</v>
      </c>
      <c r="BO3" s="245">
        <v>32206.234</v>
      </c>
      <c r="BP3" s="245">
        <v>35660.294999999998</v>
      </c>
      <c r="BQ3" s="245">
        <f t="shared" ref="BQ3:BV3" si="7">+SUMIFS($B3:$AK3,$B$1:$AK$1,"="&amp;BQ$1)</f>
        <v>37765.759999999995</v>
      </c>
      <c r="BR3" s="245">
        <f t="shared" si="7"/>
        <v>41026.864000000001</v>
      </c>
      <c r="BS3" s="245">
        <f t="shared" si="7"/>
        <v>43500.929000000004</v>
      </c>
      <c r="BT3" s="245">
        <f t="shared" si="7"/>
        <v>46702.895000000004</v>
      </c>
      <c r="BU3" s="245">
        <f t="shared" si="7"/>
        <v>46893.962999999996</v>
      </c>
      <c r="BV3" s="245">
        <f t="shared" si="7"/>
        <v>51054.876000000004</v>
      </c>
      <c r="BW3" s="245">
        <f>+SUMIFS($B3:$AK3,$B$1:$AK$1,"="&amp;BW$1)</f>
        <v>53307.054000000004</v>
      </c>
      <c r="BX3" s="245">
        <f>+SUMIFS($B3:$AO3,$B$1:$AO$1,"="&amp;BX$1)</f>
        <v>54782.716999999997</v>
      </c>
      <c r="BY3" s="245">
        <f>+SUMIFS($B3:$AS3,$B$1:$AS$1,"="&amp;BY$1)</f>
        <v>55370.926999999996</v>
      </c>
      <c r="BZ3" s="245">
        <f>+SUMIFS($B3:$AS3,$B$1:$AS$1,"="&amp;BZ$1)</f>
        <v>56686.035174999997</v>
      </c>
      <c r="CA3" s="276">
        <f>+FAT!CA11</f>
        <v>57819.7558785</v>
      </c>
      <c r="CB3" s="276">
        <f>+FAT!CB11</f>
        <v>58976.150996069999</v>
      </c>
      <c r="CC3" s="276">
        <f>+FAT!CC11</f>
        <v>60155.674015991397</v>
      </c>
      <c r="CD3" s="276">
        <f>+FAT!CD11</f>
        <v>61358.787496311226</v>
      </c>
    </row>
    <row r="4" spans="1:82" s="274" customFormat="1" ht="13.5" customHeight="1">
      <c r="A4" s="274" t="s">
        <v>51</v>
      </c>
      <c r="B4" s="246"/>
      <c r="C4" s="246">
        <f>C3/B3-1</f>
        <v>1.1804795815733904E-2</v>
      </c>
      <c r="D4" s="246">
        <f>D3/C3-1</f>
        <v>-1.2670312238679537E-2</v>
      </c>
      <c r="E4" s="246">
        <f>E3/D3-1</f>
        <v>7.5889014648503839E-2</v>
      </c>
      <c r="F4" s="246">
        <f>+F3/B3-1</f>
        <v>9.1906721536351155E-2</v>
      </c>
      <c r="G4" s="246">
        <f t="shared" ref="G4:AG4" si="8">+G3/C3-1</f>
        <v>8.7704794497513783E-2</v>
      </c>
      <c r="H4" s="246">
        <f t="shared" si="8"/>
        <v>5.4797219597504609E-2</v>
      </c>
      <c r="I4" s="246">
        <f t="shared" si="8"/>
        <v>5.4278955456292799E-3</v>
      </c>
      <c r="J4" s="246">
        <f t="shared" si="8"/>
        <v>7.1009646075529176E-2</v>
      </c>
      <c r="K4" s="246">
        <f t="shared" si="8"/>
        <v>0.1023009284393297</v>
      </c>
      <c r="L4" s="246">
        <f t="shared" si="8"/>
        <v>7.608147166454704E-2</v>
      </c>
      <c r="M4" s="246">
        <f t="shared" si="8"/>
        <v>9.5621669348292748E-2</v>
      </c>
      <c r="N4" s="246">
        <f t="shared" si="8"/>
        <v>7.9035267622103778E-2</v>
      </c>
      <c r="O4" s="246">
        <f t="shared" si="8"/>
        <v>6.5856782928202628E-2</v>
      </c>
      <c r="P4" s="246">
        <f t="shared" si="8"/>
        <v>5.0823481863190967E-2</v>
      </c>
      <c r="Q4" s="246">
        <f t="shared" si="8"/>
        <v>4.5190632862395885E-2</v>
      </c>
      <c r="R4" s="246">
        <f t="shared" si="8"/>
        <v>6.1579625930633597E-2</v>
      </c>
      <c r="S4" s="246">
        <f t="shared" si="8"/>
        <v>9.3154050499520302E-2</v>
      </c>
      <c r="T4" s="246">
        <f t="shared" si="8"/>
        <v>6.7030673076923231E-2</v>
      </c>
      <c r="U4" s="246">
        <f t="shared" si="8"/>
        <v>7.1778446440144528E-2</v>
      </c>
      <c r="V4" s="246">
        <f t="shared" si="8"/>
        <v>3.5642534816687776E-2</v>
      </c>
      <c r="W4" s="246">
        <f t="shared" si="8"/>
        <v>-4.9852321330045801E-2</v>
      </c>
      <c r="X4" s="246">
        <f t="shared" si="8"/>
        <v>2.2201347935441484E-2</v>
      </c>
      <c r="Y4" s="246">
        <f t="shared" si="8"/>
        <v>1.2352587562894701E-2</v>
      </c>
      <c r="Z4" s="246">
        <f t="shared" si="8"/>
        <v>3.8402990045651286E-2</v>
      </c>
      <c r="AA4" s="246">
        <f t="shared" si="8"/>
        <v>0.10003422560474462</v>
      </c>
      <c r="AB4" s="246">
        <f t="shared" si="8"/>
        <v>0.1278715809684674</v>
      </c>
      <c r="AC4" s="246">
        <f t="shared" si="8"/>
        <v>9.1537992620021935E-2</v>
      </c>
      <c r="AD4" s="246">
        <f t="shared" si="8"/>
        <v>7.7540957531414101E-2</v>
      </c>
      <c r="AE4" s="246">
        <f t="shared" si="8"/>
        <v>6.3531686819558342E-2</v>
      </c>
      <c r="AF4" s="246">
        <f t="shared" si="8"/>
        <v>-9.4920275128966836E-3</v>
      </c>
      <c r="AG4" s="246">
        <f t="shared" si="8"/>
        <v>4.5292871697114823E-2</v>
      </c>
      <c r="AH4" s="246">
        <f t="shared" ref="AH4:AO4" si="9">+AH3/AD3-1</f>
        <v>1.7756070558712755E-2</v>
      </c>
      <c r="AI4" s="246">
        <f t="shared" si="9"/>
        <v>2.5807652169246298E-2</v>
      </c>
      <c r="AJ4" s="246">
        <f t="shared" si="9"/>
        <v>3.8041014447042665E-2</v>
      </c>
      <c r="AK4" s="246">
        <f t="shared" si="9"/>
        <v>2.9845813717807035E-2</v>
      </c>
      <c r="AL4" s="246">
        <f t="shared" si="9"/>
        <v>3.1489725899496168E-3</v>
      </c>
      <c r="AM4" s="246">
        <f t="shared" si="9"/>
        <v>1.4216661927779484E-4</v>
      </c>
      <c r="AN4" s="246">
        <f t="shared" si="9"/>
        <v>1.9412471770408501E-2</v>
      </c>
      <c r="AO4" s="246">
        <f t="shared" si="9"/>
        <v>2.0872366036856604E-2</v>
      </c>
      <c r="AP4" s="277">
        <f t="shared" ref="AP4" si="10">+AP3/AL3-1</f>
        <v>2.0000000000000018E-2</v>
      </c>
      <c r="AQ4" s="277">
        <f t="shared" ref="AQ4" si="11">+AQ3/AM3-1</f>
        <v>2.4999999999999911E-2</v>
      </c>
      <c r="AR4" s="277">
        <f t="shared" ref="AR4" si="12">+AR3/AN3-1</f>
        <v>2.4999999999999911E-2</v>
      </c>
      <c r="AS4" s="277">
        <f t="shared" ref="AS4" si="13">+AS3/AO3-1</f>
        <v>2.4999999999999911E-2</v>
      </c>
      <c r="AT4" s="325"/>
      <c r="AU4" s="277">
        <v>1.4999999999999902E-2</v>
      </c>
      <c r="AV4" s="215"/>
      <c r="AW4" s="246"/>
      <c r="AX4" s="246">
        <f t="shared" ref="AX4:BO4" si="14">AX3/AW3-1</f>
        <v>0.1925433810668602</v>
      </c>
      <c r="AY4" s="246">
        <f t="shared" si="14"/>
        <v>0.12844029232222098</v>
      </c>
      <c r="AZ4" s="246">
        <f t="shared" si="14"/>
        <v>0.14696563121069151</v>
      </c>
      <c r="BA4" s="246">
        <f t="shared" si="14"/>
        <v>-1.7126404798478934E-2</v>
      </c>
      <c r="BB4" s="246">
        <f t="shared" si="14"/>
        <v>2.9556500578388656E-2</v>
      </c>
      <c r="BC4" s="246">
        <f t="shared" si="14"/>
        <v>6.2383604911518731E-2</v>
      </c>
      <c r="BD4" s="246">
        <f t="shared" si="14"/>
        <v>0.15781949289507002</v>
      </c>
      <c r="BE4" s="246">
        <f t="shared" si="14"/>
        <v>0.11031946255220437</v>
      </c>
      <c r="BF4" s="246">
        <f t="shared" si="14"/>
        <v>-8.6368200610705048E-2</v>
      </c>
      <c r="BG4" s="246">
        <f t="shared" si="14"/>
        <v>6.9494532890882033E-2</v>
      </c>
      <c r="BH4" s="246">
        <f t="shared" si="14"/>
        <v>7.3150463498231177E-2</v>
      </c>
      <c r="BI4" s="246">
        <f t="shared" si="14"/>
        <v>7.160850376821104E-2</v>
      </c>
      <c r="BJ4" s="246">
        <f t="shared" si="14"/>
        <v>6.0493056349175678E-2</v>
      </c>
      <c r="BK4" s="246">
        <f t="shared" si="14"/>
        <v>2.0455542203908994E-2</v>
      </c>
      <c r="BL4" s="246">
        <f t="shared" si="14"/>
        <v>9.5623461627046158E-2</v>
      </c>
      <c r="BM4" s="246">
        <f t="shared" si="14"/>
        <v>1.3277850589508589E-2</v>
      </c>
      <c r="BN4" s="246">
        <f t="shared" si="14"/>
        <v>-1.9228799337518643E-2</v>
      </c>
      <c r="BO4" s="246">
        <f t="shared" si="14"/>
        <v>0.10648286161338016</v>
      </c>
      <c r="BP4" s="246">
        <f t="shared" ref="BP4:CD4" si="15">BP3/BO3-1</f>
        <v>0.10724821163505172</v>
      </c>
      <c r="BQ4" s="246">
        <f t="shared" si="15"/>
        <v>5.904227657118355E-2</v>
      </c>
      <c r="BR4" s="246">
        <f t="shared" si="15"/>
        <v>8.6350810893253804E-2</v>
      </c>
      <c r="BS4" s="246">
        <f t="shared" si="15"/>
        <v>6.0303536726570295E-2</v>
      </c>
      <c r="BT4" s="246">
        <f t="shared" si="15"/>
        <v>7.3606841821699964E-2</v>
      </c>
      <c r="BU4" s="246">
        <f t="shared" si="15"/>
        <v>4.0911382474253521E-3</v>
      </c>
      <c r="BV4" s="246">
        <f t="shared" si="15"/>
        <v>8.8730248710265913E-2</v>
      </c>
      <c r="BW4" s="246">
        <f t="shared" si="15"/>
        <v>4.4112887474254237E-2</v>
      </c>
      <c r="BX4" s="246">
        <f t="shared" si="15"/>
        <v>2.768232136782478E-2</v>
      </c>
      <c r="BY4" s="246">
        <f t="shared" si="15"/>
        <v>1.073714543950044E-2</v>
      </c>
      <c r="BZ4" s="246">
        <f t="shared" si="15"/>
        <v>2.3750878777955009E-2</v>
      </c>
      <c r="CA4" s="277">
        <f t="shared" si="15"/>
        <v>2.0000000000000018E-2</v>
      </c>
      <c r="CB4" s="277">
        <f t="shared" si="15"/>
        <v>2.0000000000000018E-2</v>
      </c>
      <c r="CC4" s="277">
        <f t="shared" si="15"/>
        <v>2.0000000000000018E-2</v>
      </c>
      <c r="CD4" s="277">
        <f t="shared" si="15"/>
        <v>2.0000000000000018E-2</v>
      </c>
    </row>
    <row r="5" spans="1:82" ht="13.5" customHeight="1">
      <c r="A5" s="260" t="s">
        <v>52</v>
      </c>
      <c r="B5" s="245">
        <v>-5291.9040000000005</v>
      </c>
      <c r="C5" s="245">
        <v>-5378.3760000000002</v>
      </c>
      <c r="D5" s="245">
        <v>-5374.7960000000003</v>
      </c>
      <c r="E5" s="245">
        <v>-5830.2860000000001</v>
      </c>
      <c r="F5" s="245">
        <v>-6145.84</v>
      </c>
      <c r="G5" s="245">
        <v>-6206.55</v>
      </c>
      <c r="H5" s="245">
        <v>-5992.5609999999997</v>
      </c>
      <c r="I5" s="245">
        <v>-6018.8180000000002</v>
      </c>
      <c r="J5" s="245">
        <v>-6481.2950000000001</v>
      </c>
      <c r="K5" s="245">
        <v>-6774.0150000000003</v>
      </c>
      <c r="L5" s="245">
        <v>-6539.3680000000004</v>
      </c>
      <c r="M5" s="245">
        <v>-6891.62</v>
      </c>
      <c r="N5" s="245">
        <f>3875-N3</f>
        <v>-7139</v>
      </c>
      <c r="O5" s="245">
        <v>-7087.4160000000002</v>
      </c>
      <c r="P5" s="245">
        <v>-6414.6130000000003</v>
      </c>
      <c r="Q5" s="245">
        <v>-6538.4790000000003</v>
      </c>
      <c r="R5" s="245">
        <v>-7067.5389999999998</v>
      </c>
      <c r="S5" s="245">
        <v>-7617.16</v>
      </c>
      <c r="T5" s="245">
        <v>-6893.9560000000001</v>
      </c>
      <c r="U5" s="245">
        <v>-7114.9660000000003</v>
      </c>
      <c r="V5" s="245">
        <v>-7445.9870000000001</v>
      </c>
      <c r="W5" s="245">
        <v>-7678.5420000000004</v>
      </c>
      <c r="X5" s="245">
        <v>-7745.1580000000004</v>
      </c>
      <c r="Y5" s="245">
        <v>-8238.6</v>
      </c>
      <c r="Z5" s="245">
        <v>-8636.4619999999995</v>
      </c>
      <c r="AA5" s="245">
        <v>-8739.0840000000007</v>
      </c>
      <c r="AB5" s="245">
        <v>-8549.6180000000004</v>
      </c>
      <c r="AC5" s="245">
        <v>-8357.23</v>
      </c>
      <c r="AD5" s="245">
        <v>-8626.6280000000006</v>
      </c>
      <c r="AE5" s="245">
        <v>-8477.7739999999994</v>
      </c>
      <c r="AF5" s="245">
        <v>-7582.0140000000001</v>
      </c>
      <c r="AG5" s="245">
        <v>-7920.5990000000002</v>
      </c>
      <c r="AH5" s="245">
        <v>-7961.0060000000003</v>
      </c>
      <c r="AI5" s="245">
        <v>-8113.5879999999997</v>
      </c>
      <c r="AJ5" s="245">
        <v>-7942.902</v>
      </c>
      <c r="AK5" s="327">
        <f>+AK6-AK3</f>
        <v>-8381.4930000000004</v>
      </c>
      <c r="AL5" s="327">
        <f>+AL6-AL3</f>
        <v>-8550</v>
      </c>
      <c r="AM5" s="327">
        <f>+AM6-AM3</f>
        <v>-8694.0750000000007</v>
      </c>
      <c r="AN5" s="327">
        <f t="shared" ref="AN5:AO5" si="16">+AN6-AN3</f>
        <v>-8218.3060000000005</v>
      </c>
      <c r="AO5" s="327">
        <f t="shared" si="16"/>
        <v>-8377.887999999999</v>
      </c>
      <c r="AP5" s="276">
        <f>+FAT!AP22</f>
        <v>-8530.1869685550737</v>
      </c>
      <c r="AQ5" s="276">
        <f>+FAT!AQ22</f>
        <v>-8642.0689364800201</v>
      </c>
      <c r="AR5" s="276">
        <f>+FAT!AR22</f>
        <v>-8355.6465196948502</v>
      </c>
      <c r="AS5" s="276">
        <f>+FAT!AS22</f>
        <v>-8469.8833514210201</v>
      </c>
      <c r="AT5" s="326"/>
      <c r="AU5" s="276">
        <v>-8420.853920172467</v>
      </c>
      <c r="AV5" s="159"/>
      <c r="AW5" s="245">
        <v>-6257.0839999999998</v>
      </c>
      <c r="AX5" s="245">
        <v>-7212.5510000000004</v>
      </c>
      <c r="AY5" s="245">
        <v>-7828.87</v>
      </c>
      <c r="AZ5" s="245">
        <v>-9061.3870000000006</v>
      </c>
      <c r="BA5" s="245">
        <v>-8797.0949999999993</v>
      </c>
      <c r="BB5" s="245">
        <v>-9296.0920000000006</v>
      </c>
      <c r="BC5" s="245">
        <v>-10269.191999999999</v>
      </c>
      <c r="BD5" s="245">
        <v>-12307.609</v>
      </c>
      <c r="BE5" s="245">
        <v>-13678.619000000001</v>
      </c>
      <c r="BF5" s="245">
        <v>-11326.652</v>
      </c>
      <c r="BG5" s="245">
        <v>-12683.071</v>
      </c>
      <c r="BH5" s="245">
        <v>-13833.200999999999</v>
      </c>
      <c r="BI5" s="245">
        <v>-14564.753000000001</v>
      </c>
      <c r="BJ5" s="245">
        <v>-15640.626</v>
      </c>
      <c r="BK5" s="245">
        <v>-17054</v>
      </c>
      <c r="BL5" s="245">
        <v>-17956.306</v>
      </c>
      <c r="BM5" s="245">
        <v>-17759.990000000002</v>
      </c>
      <c r="BN5" s="245">
        <v>-18379.732</v>
      </c>
      <c r="BO5" s="245">
        <v>-19778.456999999999</v>
      </c>
      <c r="BP5" s="245">
        <v>-21875.362000000001</v>
      </c>
      <c r="BQ5" s="245">
        <f t="shared" ref="BQ5:BV5" si="17">+SUMIFS($B5:$AK5,$B$1:$AK$1,"="&amp;BQ$1)</f>
        <v>-24363.769</v>
      </c>
      <c r="BR5" s="245">
        <f t="shared" si="17"/>
        <v>-26686.297999999999</v>
      </c>
      <c r="BS5" s="245">
        <f t="shared" si="17"/>
        <v>-27179.508000000002</v>
      </c>
      <c r="BT5" s="245">
        <f t="shared" si="17"/>
        <v>-28693.620999999999</v>
      </c>
      <c r="BU5" s="245">
        <f t="shared" si="17"/>
        <v>-31108.287000000004</v>
      </c>
      <c r="BV5" s="245">
        <f t="shared" si="17"/>
        <v>-34282.394</v>
      </c>
      <c r="BW5" s="245">
        <f>+SUMIFS($B5:$AK5,$B$1:$AK$1,"="&amp;BW$1)</f>
        <v>-32607.014999999999</v>
      </c>
      <c r="BX5" s="245">
        <f>+SUMIFS($B5:$AO5,$B$1:$AO$1,"="&amp;BX$1)</f>
        <v>-32398.989000000001</v>
      </c>
      <c r="BY5" s="245">
        <f>+SUMIFS($B5:$AS5,$B$1:$AS$1,"="&amp;BY$1)</f>
        <v>-33840.269</v>
      </c>
      <c r="BZ5" s="245">
        <f>+SUMIFS($B5:$AS5,$B$1:$AS$1,"="&amp;BZ$1)</f>
        <v>-33997.785776150966</v>
      </c>
      <c r="CA5" s="276">
        <f>+FAT!CA22</f>
        <v>-34820.992234643658</v>
      </c>
      <c r="CB5" s="276">
        <f>+FAT!CB22</f>
        <v>-35604.054756889222</v>
      </c>
      <c r="CC5" s="276">
        <f>+FAT!CC22</f>
        <v>-36409.595365133202</v>
      </c>
      <c r="CD5" s="276">
        <f>+FAT!CD22</f>
        <v>-37237.725550091462</v>
      </c>
    </row>
    <row r="6" spans="1:82" ht="13.5" customHeight="1">
      <c r="A6" s="319" t="s">
        <v>3</v>
      </c>
      <c r="B6" s="247">
        <f t="shared" ref="B6:G6" si="18">B3+B5</f>
        <v>3436.4129999999986</v>
      </c>
      <c r="C6" s="247">
        <f t="shared" si="18"/>
        <v>3452.976999999999</v>
      </c>
      <c r="D6" s="247">
        <f t="shared" si="18"/>
        <v>3344.6610000000001</v>
      </c>
      <c r="E6" s="247">
        <f t="shared" si="18"/>
        <v>3550.8819999999996</v>
      </c>
      <c r="F6" s="247">
        <f t="shared" si="18"/>
        <v>3384.6679999999997</v>
      </c>
      <c r="G6" s="247">
        <f t="shared" si="18"/>
        <v>3399.3550000000005</v>
      </c>
      <c r="H6" s="247">
        <f t="shared" ref="H6:AJ6" si="19">H3+H5</f>
        <v>3204.6980000000003</v>
      </c>
      <c r="I6" s="247">
        <f t="shared" si="19"/>
        <v>3413.2699999999995</v>
      </c>
      <c r="J6" s="247">
        <f t="shared" si="19"/>
        <v>3725.9709999999995</v>
      </c>
      <c r="K6" s="247">
        <f t="shared" si="19"/>
        <v>3814.5829999999996</v>
      </c>
      <c r="L6" s="247">
        <f t="shared" si="19"/>
        <v>3357.6319999999996</v>
      </c>
      <c r="M6" s="247">
        <f t="shared" si="19"/>
        <v>3442.38</v>
      </c>
      <c r="N6" s="247">
        <f t="shared" si="19"/>
        <v>3875</v>
      </c>
      <c r="O6" s="247">
        <f t="shared" si="19"/>
        <v>4198.5129999999999</v>
      </c>
      <c r="P6" s="247">
        <f t="shared" si="19"/>
        <v>3985.3869999999997</v>
      </c>
      <c r="Q6" s="247">
        <f t="shared" si="19"/>
        <v>4262.5209999999997</v>
      </c>
      <c r="R6" s="247">
        <f t="shared" si="19"/>
        <v>4624.6989999999996</v>
      </c>
      <c r="S6" s="247">
        <f t="shared" si="19"/>
        <v>4720.0990000000002</v>
      </c>
      <c r="T6" s="247">
        <f t="shared" si="19"/>
        <v>4203.1630000000005</v>
      </c>
      <c r="U6" s="247">
        <f t="shared" si="19"/>
        <v>4461.3130000000001</v>
      </c>
      <c r="V6" s="247">
        <f t="shared" si="19"/>
        <v>4662.9919999999993</v>
      </c>
      <c r="W6" s="247">
        <f t="shared" si="19"/>
        <v>4043.6760000000004</v>
      </c>
      <c r="X6" s="247">
        <f t="shared" si="19"/>
        <v>3598.3319999999994</v>
      </c>
      <c r="Y6" s="247">
        <f t="shared" si="19"/>
        <v>3480.6759999999995</v>
      </c>
      <c r="Z6" s="247">
        <f t="shared" si="19"/>
        <v>3937.5380000000005</v>
      </c>
      <c r="AA6" s="247">
        <f t="shared" si="19"/>
        <v>4155.7569999999996</v>
      </c>
      <c r="AB6" s="247">
        <f t="shared" si="19"/>
        <v>4244.3819999999996</v>
      </c>
      <c r="AC6" s="247">
        <f t="shared" si="19"/>
        <v>4434.8050000000003</v>
      </c>
      <c r="AD6" s="247">
        <f t="shared" si="19"/>
        <v>4922.3719999999994</v>
      </c>
      <c r="AE6" s="247">
        <f t="shared" si="19"/>
        <v>5236.2980000000007</v>
      </c>
      <c r="AF6" s="247">
        <f t="shared" si="19"/>
        <v>5090.5449999999992</v>
      </c>
      <c r="AG6" s="247">
        <f t="shared" si="19"/>
        <v>5450.8240000000005</v>
      </c>
      <c r="AH6" s="247">
        <f t="shared" si="19"/>
        <v>5828.570999999999</v>
      </c>
      <c r="AI6" s="247">
        <f t="shared" si="19"/>
        <v>5954.4120000000003</v>
      </c>
      <c r="AJ6" s="247">
        <f t="shared" si="19"/>
        <v>5211.7340000000004</v>
      </c>
      <c r="AK6" s="335">
        <v>5389.0110000000004</v>
      </c>
      <c r="AL6" s="335">
        <v>5283</v>
      </c>
      <c r="AM6" s="335">
        <v>5375.9250000000002</v>
      </c>
      <c r="AN6" s="335">
        <v>5191.6940000000004</v>
      </c>
      <c r="AO6" s="335">
        <v>5680.0389999999998</v>
      </c>
      <c r="AP6" s="278">
        <f t="shared" ref="AP6:AS6" si="20">AP3+AP5</f>
        <v>5579.4730314449262</v>
      </c>
      <c r="AQ6" s="278">
        <f t="shared" si="20"/>
        <v>5779.6810635199781</v>
      </c>
      <c r="AR6" s="278">
        <f t="shared" si="20"/>
        <v>5389.603480305148</v>
      </c>
      <c r="AS6" s="278">
        <f t="shared" si="20"/>
        <v>5939.4918235789792</v>
      </c>
      <c r="AT6" s="326"/>
      <c r="AU6" s="278">
        <v>5556.2076398275331</v>
      </c>
      <c r="AV6" s="418">
        <f>+AO6/AU6-1</f>
        <v>2.228702888726275E-2</v>
      </c>
      <c r="AW6" s="247">
        <f t="shared" ref="AW6:BO6" si="21">AW3+AW5</f>
        <v>4048.3910000000005</v>
      </c>
      <c r="AX6" s="247">
        <f t="shared" si="21"/>
        <v>5077.1750000000002</v>
      </c>
      <c r="AY6" s="247">
        <f t="shared" si="21"/>
        <v>6039.3519999999999</v>
      </c>
      <c r="AZ6" s="247">
        <f t="shared" si="21"/>
        <v>6844.9869999999992</v>
      </c>
      <c r="BA6" s="247">
        <f t="shared" si="21"/>
        <v>6836.8600000000006</v>
      </c>
      <c r="BB6" s="247">
        <f t="shared" si="21"/>
        <v>6799.9480000000003</v>
      </c>
      <c r="BC6" s="247">
        <f t="shared" si="21"/>
        <v>6830.9770000000026</v>
      </c>
      <c r="BD6" s="247">
        <f t="shared" si="21"/>
        <v>7491.2999999999993</v>
      </c>
      <c r="BE6" s="247">
        <f t="shared" si="21"/>
        <v>8304.4950000000008</v>
      </c>
      <c r="BF6" s="247">
        <f t="shared" si="21"/>
        <v>8757.8200000000015</v>
      </c>
      <c r="BG6" s="247">
        <f t="shared" si="21"/>
        <v>8797.1620000000003</v>
      </c>
      <c r="BH6" s="247">
        <f t="shared" si="21"/>
        <v>9218.3210000000017</v>
      </c>
      <c r="BI6" s="247">
        <f t="shared" si="21"/>
        <v>10137.453999999998</v>
      </c>
      <c r="BJ6" s="247">
        <f t="shared" si="21"/>
        <v>10555.893</v>
      </c>
      <c r="BK6" s="247">
        <f t="shared" si="21"/>
        <v>9678.3830000000016</v>
      </c>
      <c r="BL6" s="247">
        <f t="shared" si="21"/>
        <v>11332.32</v>
      </c>
      <c r="BM6" s="247">
        <f t="shared" si="21"/>
        <v>11917.525999999998</v>
      </c>
      <c r="BN6" s="247">
        <f t="shared" si="21"/>
        <v>10727.120999999999</v>
      </c>
      <c r="BO6" s="247">
        <f t="shared" si="21"/>
        <v>12427.777000000002</v>
      </c>
      <c r="BP6" s="247">
        <f t="shared" ref="BP6:CD6" si="22">BP3+BP5</f>
        <v>13784.932999999997</v>
      </c>
      <c r="BQ6" s="247">
        <f t="shared" ref="BQ6:BV6" si="23">BQ3+BQ5</f>
        <v>13401.990999999995</v>
      </c>
      <c r="BR6" s="247">
        <f t="shared" si="23"/>
        <v>14340.566000000003</v>
      </c>
      <c r="BS6" s="247">
        <f t="shared" si="23"/>
        <v>16321.421000000002</v>
      </c>
      <c r="BT6" s="247">
        <f t="shared" si="23"/>
        <v>18009.274000000005</v>
      </c>
      <c r="BU6" s="247">
        <f t="shared" si="23"/>
        <v>15785.675999999992</v>
      </c>
      <c r="BV6" s="247">
        <f t="shared" si="23"/>
        <v>16772.482000000004</v>
      </c>
      <c r="BW6" s="247">
        <f t="shared" si="22"/>
        <v>20700.039000000004</v>
      </c>
      <c r="BX6" s="247">
        <f>BX3+BX5</f>
        <v>22383.727999999996</v>
      </c>
      <c r="BY6" s="247">
        <f>BY3+BY5</f>
        <v>21530.657999999996</v>
      </c>
      <c r="BZ6" s="247">
        <f>BZ3+BZ5</f>
        <v>22688.249398849031</v>
      </c>
      <c r="CA6" s="278">
        <f t="shared" si="22"/>
        <v>22998.763643856342</v>
      </c>
      <c r="CB6" s="278">
        <f t="shared" si="22"/>
        <v>23372.096239180777</v>
      </c>
      <c r="CC6" s="278">
        <f t="shared" si="22"/>
        <v>23746.078650858195</v>
      </c>
      <c r="CD6" s="278">
        <f t="shared" si="22"/>
        <v>24121.061946219765</v>
      </c>
    </row>
    <row r="7" spans="1:82" ht="13.5" customHeight="1">
      <c r="A7" s="260" t="s">
        <v>53</v>
      </c>
      <c r="B7" s="246">
        <f t="shared" ref="B7:G7" si="24">B6/B3</f>
        <v>0.39370854656172538</v>
      </c>
      <c r="C7" s="246">
        <f t="shared" si="24"/>
        <v>0.39099071229516014</v>
      </c>
      <c r="D7" s="246">
        <f t="shared" si="24"/>
        <v>0.3835859274264441</v>
      </c>
      <c r="E7" s="246">
        <f t="shared" si="24"/>
        <v>0.37851171623831914</v>
      </c>
      <c r="F7" s="246">
        <f t="shared" si="24"/>
        <v>0.35514035558230472</v>
      </c>
      <c r="G7" s="246">
        <f t="shared" si="24"/>
        <v>0.35388180499390742</v>
      </c>
      <c r="H7" s="246">
        <f t="shared" ref="H7:AJ7" si="25">H6/H3</f>
        <v>0.34844055169045479</v>
      </c>
      <c r="I7" s="246">
        <f t="shared" si="25"/>
        <v>0.36187851512835756</v>
      </c>
      <c r="J7" s="246">
        <f t="shared" si="25"/>
        <v>0.36503124342992527</v>
      </c>
      <c r="K7" s="246">
        <f t="shared" si="25"/>
        <v>0.36025383152708224</v>
      </c>
      <c r="L7" s="246">
        <f t="shared" si="25"/>
        <v>0.33925755279377584</v>
      </c>
      <c r="M7" s="246">
        <f t="shared" si="25"/>
        <v>0.33311205728662668</v>
      </c>
      <c r="N7" s="246">
        <f t="shared" si="25"/>
        <v>0.35182495006355546</v>
      </c>
      <c r="O7" s="246">
        <f t="shared" si="25"/>
        <v>0.37201306157428421</v>
      </c>
      <c r="P7" s="246">
        <f t="shared" si="25"/>
        <v>0.38321028846153843</v>
      </c>
      <c r="Q7" s="246">
        <f t="shared" si="25"/>
        <v>0.39464132950652714</v>
      </c>
      <c r="R7" s="246">
        <f t="shared" si="25"/>
        <v>0.39553582470695514</v>
      </c>
      <c r="S7" s="246">
        <f t="shared" si="25"/>
        <v>0.38258895270010951</v>
      </c>
      <c r="T7" s="246">
        <f t="shared" si="25"/>
        <v>0.37876164074657576</v>
      </c>
      <c r="U7" s="246">
        <f t="shared" si="25"/>
        <v>0.3853840253850136</v>
      </c>
      <c r="V7" s="246">
        <f t="shared" si="25"/>
        <v>0.38508548078248378</v>
      </c>
      <c r="W7" s="246">
        <f t="shared" si="25"/>
        <v>0.34495826643046562</v>
      </c>
      <c r="X7" s="246">
        <f t="shared" si="25"/>
        <v>0.3172156011950466</v>
      </c>
      <c r="Y7" s="246">
        <f t="shared" si="25"/>
        <v>0.29700435419389387</v>
      </c>
      <c r="Z7" s="246">
        <f t="shared" si="25"/>
        <v>0.31314919675520919</v>
      </c>
      <c r="AA7" s="246">
        <f t="shared" si="25"/>
        <v>0.32228059268043702</v>
      </c>
      <c r="AB7" s="246">
        <f t="shared" si="25"/>
        <v>0.3317478505549476</v>
      </c>
      <c r="AC7" s="246">
        <f t="shared" si="25"/>
        <v>0.3466848707027459</v>
      </c>
      <c r="AD7" s="246">
        <f t="shared" si="25"/>
        <v>0.36330149826555463</v>
      </c>
      <c r="AE7" s="246">
        <f t="shared" si="25"/>
        <v>0.38181934585147292</v>
      </c>
      <c r="AF7" s="246">
        <f t="shared" si="25"/>
        <v>0.40169826788733037</v>
      </c>
      <c r="AG7" s="246">
        <f t="shared" si="25"/>
        <v>0.40764726387012062</v>
      </c>
      <c r="AH7" s="246">
        <f t="shared" si="25"/>
        <v>0.42267946290158132</v>
      </c>
      <c r="AI7" s="246">
        <f t="shared" si="25"/>
        <v>0.4232593119135627</v>
      </c>
      <c r="AJ7" s="246">
        <f t="shared" si="25"/>
        <v>0.39618990597687387</v>
      </c>
      <c r="AK7" s="246">
        <f>AK6/AK3</f>
        <v>0.39134449980915731</v>
      </c>
      <c r="AL7" s="246">
        <f>AL6/AL3</f>
        <v>0.38191281717631748</v>
      </c>
      <c r="AM7" s="246">
        <f>AM6/AM3</f>
        <v>0.38208422174840084</v>
      </c>
      <c r="AN7" s="246">
        <f>AN6/AN3</f>
        <v>0.38715093214019392</v>
      </c>
      <c r="AO7" s="246">
        <f>AO6/AO3</f>
        <v>0.40404527637680859</v>
      </c>
      <c r="AP7" s="277">
        <f t="shared" ref="AP7:AS7" si="26">AP6/AP3</f>
        <v>0.39543639119900309</v>
      </c>
      <c r="AQ7" s="277">
        <f t="shared" si="26"/>
        <v>0.40076142378837371</v>
      </c>
      <c r="AR7" s="277">
        <f t="shared" si="26"/>
        <v>0.39210661721723133</v>
      </c>
      <c r="AS7" s="277">
        <f t="shared" si="26"/>
        <v>0.41219634796405941</v>
      </c>
      <c r="AT7" s="326"/>
      <c r="AU7" s="277">
        <v>0.39752330030000477</v>
      </c>
      <c r="AV7" s="160">
        <f>+AO7-AU7</f>
        <v>6.521976076803826E-3</v>
      </c>
      <c r="AW7" s="246">
        <f t="shared" ref="AW7:BO7" si="27">AW6/AW3</f>
        <v>0.39283885507460842</v>
      </c>
      <c r="AX7" s="246">
        <f t="shared" si="27"/>
        <v>0.41312353098840443</v>
      </c>
      <c r="AY7" s="246">
        <f t="shared" si="27"/>
        <v>0.43548134721235354</v>
      </c>
      <c r="AZ7" s="246">
        <f t="shared" si="27"/>
        <v>0.43032981621078437</v>
      </c>
      <c r="BA7" s="246">
        <f t="shared" si="27"/>
        <v>0.43730840980417307</v>
      </c>
      <c r="BB7" s="246">
        <f t="shared" si="27"/>
        <v>0.42246092827801124</v>
      </c>
      <c r="BC7" s="246">
        <f t="shared" si="27"/>
        <v>0.39946839121882372</v>
      </c>
      <c r="BD7" s="246">
        <f t="shared" si="27"/>
        <v>0.37836933338094536</v>
      </c>
      <c r="BE7" s="246">
        <f t="shared" si="27"/>
        <v>0.37776699879734965</v>
      </c>
      <c r="BF7" s="246">
        <f t="shared" si="27"/>
        <v>0.43604930216736598</v>
      </c>
      <c r="BG7" s="246">
        <f t="shared" si="27"/>
        <v>0.40954686106058535</v>
      </c>
      <c r="BH7" s="246">
        <f t="shared" si="27"/>
        <v>0.39990075275723663</v>
      </c>
      <c r="BI7" s="246">
        <f t="shared" si="27"/>
        <v>0.41038656991255879</v>
      </c>
      <c r="BJ7" s="246">
        <f t="shared" si="27"/>
        <v>0.40295021640088896</v>
      </c>
      <c r="BK7" s="246">
        <f t="shared" si="27"/>
        <v>0.36204714708748564</v>
      </c>
      <c r="BL7" s="246">
        <f t="shared" si="27"/>
        <v>0.38691879912700583</v>
      </c>
      <c r="BM7" s="246">
        <f t="shared" si="27"/>
        <v>0.40156750315626139</v>
      </c>
      <c r="BN7" s="246">
        <f t="shared" si="27"/>
        <v>0.36854279643354093</v>
      </c>
      <c r="BO7" s="246">
        <f t="shared" si="27"/>
        <v>0.38588109991376207</v>
      </c>
      <c r="BP7" s="246">
        <f t="shared" ref="BP7:CD7" si="28">BP6/BP3</f>
        <v>0.38656250600282466</v>
      </c>
      <c r="BQ7" s="246">
        <f t="shared" ref="BQ7:BV7" si="29">BQ6/BQ3</f>
        <v>0.35487147617312603</v>
      </c>
      <c r="BR7" s="246">
        <f t="shared" si="29"/>
        <v>0.34954087643647347</v>
      </c>
      <c r="BS7" s="246">
        <f t="shared" si="29"/>
        <v>0.37519706763044075</v>
      </c>
      <c r="BT7" s="246">
        <f t="shared" si="29"/>
        <v>0.38561365414285353</v>
      </c>
      <c r="BU7" s="246">
        <f t="shared" si="29"/>
        <v>0.33662490841305082</v>
      </c>
      <c r="BV7" s="246">
        <f t="shared" si="29"/>
        <v>0.32851870994652893</v>
      </c>
      <c r="BW7" s="246">
        <f t="shared" si="28"/>
        <v>0.38831706963209789</v>
      </c>
      <c r="BX7" s="246">
        <f>BX6/BX3</f>
        <v>0.40859105253943495</v>
      </c>
      <c r="BY7" s="246">
        <f>BY6/BY3</f>
        <v>0.38884409502481326</v>
      </c>
      <c r="BZ7" s="246">
        <f>BZ6/BZ3</f>
        <v>0.40024406943978919</v>
      </c>
      <c r="CA7" s="277">
        <f t="shared" si="28"/>
        <v>0.3977665296993812</v>
      </c>
      <c r="CB7" s="277">
        <f t="shared" si="28"/>
        <v>0.39629741589508322</v>
      </c>
      <c r="CC7" s="277">
        <f t="shared" si="28"/>
        <v>0.39474378833400969</v>
      </c>
      <c r="CD7" s="277">
        <f t="shared" si="28"/>
        <v>0.39311503584828622</v>
      </c>
    </row>
    <row r="8" spans="1:82" ht="13.5" customHeight="1">
      <c r="A8" s="260" t="s">
        <v>54</v>
      </c>
      <c r="B8" s="245">
        <v>-1385.9490000000001</v>
      </c>
      <c r="C8" s="245">
        <v>-1505.3440000000001</v>
      </c>
      <c r="D8" s="245">
        <v>-1298.673</v>
      </c>
      <c r="E8" s="245">
        <v>-1576.557</v>
      </c>
      <c r="F8" s="245">
        <v>-1556.5809999999999</v>
      </c>
      <c r="G8" s="327">
        <f t="shared" ref="G8:AJ8" si="30">+G10+G11</f>
        <v>-1604.777</v>
      </c>
      <c r="H8" s="327">
        <f t="shared" si="30"/>
        <v>-1642.9690000000001</v>
      </c>
      <c r="I8" s="327">
        <f t="shared" si="30"/>
        <v>-1624.922</v>
      </c>
      <c r="J8" s="327">
        <f t="shared" si="30"/>
        <v>-1707.779</v>
      </c>
      <c r="K8" s="327">
        <f t="shared" si="30"/>
        <v>-1781.6980000000001</v>
      </c>
      <c r="L8" s="327">
        <f t="shared" si="30"/>
        <v>-1666.096</v>
      </c>
      <c r="M8" s="327">
        <f t="shared" si="30"/>
        <v>-1690.269</v>
      </c>
      <c r="N8" s="327">
        <f t="shared" si="30"/>
        <v>-1817.2239999999999</v>
      </c>
      <c r="O8" s="327">
        <f t="shared" si="30"/>
        <v>-1911.16</v>
      </c>
      <c r="P8" s="327">
        <f t="shared" si="30"/>
        <v>-1837.3130000000001</v>
      </c>
      <c r="Q8" s="327">
        <f t="shared" si="30"/>
        <v>-1780.8960000000002</v>
      </c>
      <c r="R8" s="327">
        <f t="shared" si="30"/>
        <v>-1925.931</v>
      </c>
      <c r="S8" s="327">
        <f t="shared" si="30"/>
        <v>-1901.3049999999998</v>
      </c>
      <c r="T8" s="327">
        <f t="shared" si="30"/>
        <v>-1844.3600000000001</v>
      </c>
      <c r="U8" s="327">
        <f t="shared" si="30"/>
        <v>-1833.28</v>
      </c>
      <c r="V8" s="327">
        <f t="shared" si="30"/>
        <v>-1923.2940000000001</v>
      </c>
      <c r="W8" s="327">
        <f t="shared" si="30"/>
        <v>-1812.3690000000001</v>
      </c>
      <c r="X8" s="327">
        <f t="shared" si="30"/>
        <v>-1865.837</v>
      </c>
      <c r="Y8" s="327">
        <f t="shared" si="30"/>
        <v>-1849.385</v>
      </c>
      <c r="Z8" s="327">
        <f t="shared" si="30"/>
        <v>-1935.4070000000002</v>
      </c>
      <c r="AA8" s="327">
        <f t="shared" si="30"/>
        <v>-2001.3110000000001</v>
      </c>
      <c r="AB8" s="327">
        <f t="shared" si="30"/>
        <v>-1999.336</v>
      </c>
      <c r="AC8" s="327">
        <f t="shared" si="30"/>
        <v>-1912.03</v>
      </c>
      <c r="AD8" s="327">
        <f t="shared" si="30"/>
        <v>-2142.9269999999997</v>
      </c>
      <c r="AE8" s="327">
        <f t="shared" si="30"/>
        <v>-2208.9229999999998</v>
      </c>
      <c r="AF8" s="327">
        <f t="shared" si="30"/>
        <v>-2148.085</v>
      </c>
      <c r="AG8" s="327">
        <f t="shared" si="30"/>
        <v>-2284.3609999999999</v>
      </c>
      <c r="AH8" s="327">
        <f t="shared" si="30"/>
        <v>-2436.328</v>
      </c>
      <c r="AI8" s="327">
        <f t="shared" si="30"/>
        <v>-2425.212</v>
      </c>
      <c r="AJ8" s="327">
        <f t="shared" si="30"/>
        <v>-2258.3708999999999</v>
      </c>
      <c r="AK8" s="327">
        <f>+AK10+AK11</f>
        <v>-2452.9790000000003</v>
      </c>
      <c r="AL8" s="327">
        <f>+AL10+AL11</f>
        <v>-2307.3539999999998</v>
      </c>
      <c r="AM8" s="327">
        <f>+AM10+AM11</f>
        <v>-2345.768</v>
      </c>
      <c r="AN8" s="327">
        <f>+AN10+AN11</f>
        <v>-2344.1379999999999</v>
      </c>
      <c r="AO8" s="327">
        <f>+AO10+AO11</f>
        <v>-2467.3040000000001</v>
      </c>
      <c r="AP8" s="279">
        <f>+FAT!AP71</f>
        <v>-2388.1113899999996</v>
      </c>
      <c r="AQ8" s="279">
        <f>+FAT!AQ71</f>
        <v>-2427.8698799999997</v>
      </c>
      <c r="AR8" s="279">
        <f>+FAT!AR71</f>
        <v>-2426.1828299999997</v>
      </c>
      <c r="AS8" s="279">
        <f>+FAT!AS71</f>
        <v>-2553.6596399999999</v>
      </c>
      <c r="AT8" s="326"/>
      <c r="AU8" s="279">
        <v>-2452.9790000000003</v>
      </c>
      <c r="AV8" s="418">
        <f>+AO8/AU8-1</f>
        <v>5.8398380092123947E-3</v>
      </c>
      <c r="AW8" s="245">
        <v>-1105.6320000000001</v>
      </c>
      <c r="AX8" s="245">
        <v>-1286.713</v>
      </c>
      <c r="AY8" s="245">
        <v>-1459.1759999999999</v>
      </c>
      <c r="AZ8" s="245">
        <v>-1757.692</v>
      </c>
      <c r="BA8" s="245">
        <v>-1951.21</v>
      </c>
      <c r="BB8" s="245">
        <v>-2097.2910000000002</v>
      </c>
      <c r="BC8" s="245">
        <v>-2355.3629999999998</v>
      </c>
      <c r="BD8" s="245">
        <v>-2668.549</v>
      </c>
      <c r="BE8" s="245">
        <v>-2940.21</v>
      </c>
      <c r="BF8" s="245">
        <v>-3011.2269999999999</v>
      </c>
      <c r="BG8" s="245">
        <v>-3169.1309999999999</v>
      </c>
      <c r="BH8" s="245">
        <v>-3267.2379999999998</v>
      </c>
      <c r="BI8" s="245">
        <v>-3434.9059999999999</v>
      </c>
      <c r="BJ8" s="245">
        <v>-3674.8380000000002</v>
      </c>
      <c r="BK8" s="245">
        <v>-3895</v>
      </c>
      <c r="BL8" s="245">
        <v>-4697.2209999999995</v>
      </c>
      <c r="BM8" s="245">
        <v>-4709.51</v>
      </c>
      <c r="BN8" s="245">
        <v>-4857.0690000000004</v>
      </c>
      <c r="BO8" s="245">
        <v>-5289.6859999999997</v>
      </c>
      <c r="BP8" s="245">
        <v>-5766.5230000000001</v>
      </c>
      <c r="BQ8" s="245">
        <f t="shared" ref="BQ8:BV8" si="31">+BQ10+BQ11</f>
        <v>-6432.9260000000004</v>
      </c>
      <c r="BR8" s="245">
        <f t="shared" si="31"/>
        <v>-6845.8420000000006</v>
      </c>
      <c r="BS8" s="245">
        <f t="shared" si="31"/>
        <v>-7346.5929999999998</v>
      </c>
      <c r="BT8" s="327">
        <f t="shared" si="31"/>
        <v>-7504.8760000000002</v>
      </c>
      <c r="BU8" s="327">
        <f t="shared" si="31"/>
        <v>-7450.8850000000002</v>
      </c>
      <c r="BV8" s="327">
        <f t="shared" si="31"/>
        <v>-7848.0839999999998</v>
      </c>
      <c r="BW8" s="327">
        <f>+BW10+BW11</f>
        <v>-8784.2959999999985</v>
      </c>
      <c r="BX8" s="327">
        <f>+SUMIFS($B8:$AO8,$B$1:$AO$1,"="&amp;BX$1)</f>
        <v>-9572.8899000000001</v>
      </c>
      <c r="BY8" s="327">
        <f>+SUMIFS($B8:$AS8,$B$1:$AS$1,"="&amp;BY$1)</f>
        <v>-9464.5639999999985</v>
      </c>
      <c r="BZ8" s="327">
        <f>+SUMIFS($B8:$AS8,$B$1:$AS$1,"="&amp;BZ$1)</f>
        <v>-9795.8237399999998</v>
      </c>
      <c r="CA8" s="279">
        <f>+FAT!CA71</f>
        <v>-10138.677570899999</v>
      </c>
      <c r="CB8" s="279">
        <f>+FAT!CB71</f>
        <v>-10493.531285881498</v>
      </c>
      <c r="CC8" s="279">
        <f>+FAT!CC71</f>
        <v>-10860.80488088735</v>
      </c>
      <c r="CD8" s="279">
        <f>+FAT!CD71</f>
        <v>-11240.933051718406</v>
      </c>
    </row>
    <row r="9" spans="1:82" s="274" customFormat="1" ht="13.5" customHeight="1">
      <c r="A9" s="274" t="s">
        <v>51</v>
      </c>
      <c r="B9" s="246"/>
      <c r="C9" s="246">
        <f t="shared" ref="C9:AG9" si="32">C8/B8-1</f>
        <v>8.6146748545581353E-2</v>
      </c>
      <c r="D9" s="246">
        <f t="shared" si="32"/>
        <v>-0.13729154266400245</v>
      </c>
      <c r="E9" s="246">
        <f t="shared" si="32"/>
        <v>0.21397534252271355</v>
      </c>
      <c r="F9" s="246">
        <f t="shared" si="32"/>
        <v>-1.2670648761827219E-2</v>
      </c>
      <c r="G9" s="246">
        <f t="shared" si="32"/>
        <v>3.0962731782027575E-2</v>
      </c>
      <c r="H9" s="246">
        <f t="shared" si="32"/>
        <v>2.3798945274016159E-2</v>
      </c>
      <c r="I9" s="246">
        <f t="shared" si="32"/>
        <v>-1.0984382541606053E-2</v>
      </c>
      <c r="J9" s="246">
        <f t="shared" si="32"/>
        <v>5.0991370662714974E-2</v>
      </c>
      <c r="K9" s="246">
        <f t="shared" si="32"/>
        <v>4.3283703570544008E-2</v>
      </c>
      <c r="L9" s="246">
        <f t="shared" si="32"/>
        <v>-6.4883049764887235E-2</v>
      </c>
      <c r="M9" s="246">
        <f t="shared" si="32"/>
        <v>1.4508767802095424E-2</v>
      </c>
      <c r="N9" s="246">
        <f t="shared" si="32"/>
        <v>7.5109346500468188E-2</v>
      </c>
      <c r="O9" s="246">
        <f t="shared" si="32"/>
        <v>5.1692031362121638E-2</v>
      </c>
      <c r="P9" s="246">
        <f t="shared" si="32"/>
        <v>-3.8639883630883887E-2</v>
      </c>
      <c r="Q9" s="246">
        <f t="shared" si="32"/>
        <v>-3.0706254187500948E-2</v>
      </c>
      <c r="R9" s="246">
        <f t="shared" si="32"/>
        <v>8.143934289256638E-2</v>
      </c>
      <c r="S9" s="246">
        <f t="shared" si="32"/>
        <v>-1.2786543235453474E-2</v>
      </c>
      <c r="T9" s="246">
        <f t="shared" si="32"/>
        <v>-2.99504813798942E-2</v>
      </c>
      <c r="U9" s="246">
        <f t="shared" si="32"/>
        <v>-6.0075039580126388E-3</v>
      </c>
      <c r="V9" s="246">
        <f t="shared" si="32"/>
        <v>4.9099973817420262E-2</v>
      </c>
      <c r="W9" s="246">
        <f t="shared" si="32"/>
        <v>-5.7674489703602227E-2</v>
      </c>
      <c r="X9" s="246">
        <f t="shared" si="32"/>
        <v>2.9501718469031379E-2</v>
      </c>
      <c r="Y9" s="246">
        <f t="shared" si="32"/>
        <v>-8.8174904881830329E-3</v>
      </c>
      <c r="Z9" s="246">
        <f t="shared" si="32"/>
        <v>4.6513841087713059E-2</v>
      </c>
      <c r="AA9" s="246">
        <f t="shared" si="32"/>
        <v>3.4051752422100456E-2</v>
      </c>
      <c r="AB9" s="246">
        <f t="shared" si="32"/>
        <v>-9.8685311778134999E-4</v>
      </c>
      <c r="AC9" s="246">
        <f t="shared" si="32"/>
        <v>-4.3667497609206296E-2</v>
      </c>
      <c r="AD9" s="246">
        <f t="shared" si="32"/>
        <v>0.12076013451671774</v>
      </c>
      <c r="AE9" s="246">
        <f t="shared" si="32"/>
        <v>3.0797129346916696E-2</v>
      </c>
      <c r="AF9" s="246">
        <f t="shared" si="32"/>
        <v>-2.7541928804218019E-2</v>
      </c>
      <c r="AG9" s="246">
        <f t="shared" si="32"/>
        <v>6.3440692523806019E-2</v>
      </c>
      <c r="AH9" s="246">
        <f t="shared" ref="AH9:AO9" si="33">AH8/AG8-1</f>
        <v>6.6524949427870794E-2</v>
      </c>
      <c r="AI9" s="246">
        <f t="shared" si="33"/>
        <v>-4.5626040500293952E-3</v>
      </c>
      <c r="AJ9" s="246">
        <f t="shared" si="33"/>
        <v>-6.8794439413956465E-2</v>
      </c>
      <c r="AK9" s="246">
        <f t="shared" si="33"/>
        <v>8.6171894970839658E-2</v>
      </c>
      <c r="AL9" s="246">
        <f t="shared" si="33"/>
        <v>-5.9366590582308421E-2</v>
      </c>
      <c r="AM9" s="246">
        <f t="shared" si="33"/>
        <v>1.66485073378424E-2</v>
      </c>
      <c r="AN9" s="246">
        <f t="shared" si="33"/>
        <v>-6.9486837573029536E-4</v>
      </c>
      <c r="AO9" s="246">
        <f t="shared" si="33"/>
        <v>5.2542128492435225E-2</v>
      </c>
      <c r="AP9" s="277">
        <f t="shared" ref="AP9" si="34">AP8/AO8-1</f>
        <v>-3.2096819038108237E-2</v>
      </c>
      <c r="AQ9" s="277">
        <f t="shared" ref="AQ9" si="35">AQ8/AP8-1</f>
        <v>1.66485073378424E-2</v>
      </c>
      <c r="AR9" s="277">
        <f t="shared" ref="AR9" si="36">AR8/AQ8-1</f>
        <v>-6.9486837573029536E-4</v>
      </c>
      <c r="AS9" s="277">
        <f t="shared" ref="AS9" si="37">AS8/AR8-1</f>
        <v>5.2542128492435225E-2</v>
      </c>
      <c r="AT9" s="617"/>
      <c r="AU9" s="277">
        <v>4.6431140146186101E-2</v>
      </c>
      <c r="AV9" s="215"/>
      <c r="AW9" s="246" t="e">
        <f>AW8/A8-1</f>
        <v>#VALUE!</v>
      </c>
      <c r="AX9" s="246">
        <f t="shared" ref="AX9:CD9" si="38">AX8/AW8-1</f>
        <v>0.16378053457208175</v>
      </c>
      <c r="AY9" s="246">
        <f t="shared" si="38"/>
        <v>0.13403377443143882</v>
      </c>
      <c r="AZ9" s="246">
        <f t="shared" si="38"/>
        <v>0.20457847442666277</v>
      </c>
      <c r="BA9" s="246">
        <f t="shared" si="38"/>
        <v>0.11009778732565212</v>
      </c>
      <c r="BB9" s="246">
        <f t="shared" si="38"/>
        <v>7.4866877476027716E-2</v>
      </c>
      <c r="BC9" s="246">
        <f t="shared" si="38"/>
        <v>0.1230501632820622</v>
      </c>
      <c r="BD9" s="246">
        <f t="shared" si="38"/>
        <v>0.13296719019531178</v>
      </c>
      <c r="BE9" s="246">
        <f t="shared" si="38"/>
        <v>0.10180101620768434</v>
      </c>
      <c r="BF9" s="246">
        <f t="shared" si="38"/>
        <v>2.4153716911377021E-2</v>
      </c>
      <c r="BG9" s="246">
        <f t="shared" si="38"/>
        <v>5.2438424602329947E-2</v>
      </c>
      <c r="BH9" s="246">
        <f t="shared" si="38"/>
        <v>3.095706677950516E-2</v>
      </c>
      <c r="BI9" s="246">
        <f t="shared" si="38"/>
        <v>5.1317963368447739E-2</v>
      </c>
      <c r="BJ9" s="246">
        <f t="shared" si="38"/>
        <v>6.9851110918319304E-2</v>
      </c>
      <c r="BK9" s="246">
        <f t="shared" si="38"/>
        <v>5.9910668170950698E-2</v>
      </c>
      <c r="BL9" s="246">
        <f t="shared" si="38"/>
        <v>0.20596174582798454</v>
      </c>
      <c r="BM9" s="246">
        <f t="shared" si="38"/>
        <v>2.6162277653107857E-3</v>
      </c>
      <c r="BN9" s="246">
        <f t="shared" si="38"/>
        <v>3.1332134340940065E-2</v>
      </c>
      <c r="BO9" s="246">
        <f t="shared" si="38"/>
        <v>8.906956026360735E-2</v>
      </c>
      <c r="BP9" s="246">
        <f t="shared" si="38"/>
        <v>9.0144670212938927E-2</v>
      </c>
      <c r="BQ9" s="246">
        <f t="shared" ref="BQ9:BV9" si="39">BQ8/BP8-1</f>
        <v>0.11556409295514825</v>
      </c>
      <c r="BR9" s="246">
        <f t="shared" si="39"/>
        <v>6.4187898321852233E-2</v>
      </c>
      <c r="BS9" s="246">
        <f t="shared" si="39"/>
        <v>7.3146736369317233E-2</v>
      </c>
      <c r="BT9" s="246">
        <f t="shared" si="39"/>
        <v>2.1545088995674533E-2</v>
      </c>
      <c r="BU9" s="246">
        <f t="shared" si="39"/>
        <v>-7.1941228609240238E-3</v>
      </c>
      <c r="BV9" s="246">
        <f t="shared" si="39"/>
        <v>5.330896933719953E-2</v>
      </c>
      <c r="BW9" s="246">
        <f t="shared" si="38"/>
        <v>0.1192917914741991</v>
      </c>
      <c r="BX9" s="246">
        <f>BX8/BW8-1</f>
        <v>8.9773147444029977E-2</v>
      </c>
      <c r="BY9" s="246">
        <f>BY8/BX8-1</f>
        <v>-1.1315903675023109E-2</v>
      </c>
      <c r="BZ9" s="246">
        <f>BZ8/BY8-1</f>
        <v>3.5000000000000142E-2</v>
      </c>
      <c r="CA9" s="277">
        <f t="shared" si="38"/>
        <v>3.499999999999992E-2</v>
      </c>
      <c r="CB9" s="277">
        <f t="shared" si="38"/>
        <v>3.499999999999992E-2</v>
      </c>
      <c r="CC9" s="277">
        <f t="shared" si="38"/>
        <v>3.499999999999992E-2</v>
      </c>
      <c r="CD9" s="277">
        <f t="shared" si="38"/>
        <v>3.499999999999992E-2</v>
      </c>
    </row>
    <row r="10" spans="1:82" ht="13.5" customHeight="1">
      <c r="A10" s="260" t="s">
        <v>55</v>
      </c>
      <c r="B10" s="245"/>
      <c r="C10" s="245"/>
      <c r="D10" s="245"/>
      <c r="E10" s="245"/>
      <c r="F10" s="245">
        <v>-1063.7529999999999</v>
      </c>
      <c r="G10" s="245">
        <v>-1103.3510000000001</v>
      </c>
      <c r="H10" s="245">
        <v>-1131.587</v>
      </c>
      <c r="I10" s="245">
        <v>-1150.1369999999999</v>
      </c>
      <c r="J10" s="245">
        <v>-1157.9749999999999</v>
      </c>
      <c r="K10" s="245">
        <v>-1228.681</v>
      </c>
      <c r="L10" s="245">
        <v>-1194.4580000000001</v>
      </c>
      <c r="M10" s="245">
        <v>-1133.704</v>
      </c>
      <c r="N10" s="245">
        <v>-1229.2729999999999</v>
      </c>
      <c r="O10" s="245">
        <v>-1316.393</v>
      </c>
      <c r="P10" s="245">
        <v>-1242.548</v>
      </c>
      <c r="Q10" s="245">
        <v>-1175.8340000000001</v>
      </c>
      <c r="R10" s="245">
        <v>-1306.1220000000001</v>
      </c>
      <c r="S10" s="245">
        <v>-1308.885</v>
      </c>
      <c r="T10" s="245">
        <v>-1252.027</v>
      </c>
      <c r="U10" s="245">
        <v>-1218.73</v>
      </c>
      <c r="V10" s="245">
        <v>-1297.4480000000001</v>
      </c>
      <c r="W10" s="245">
        <v>-1226.7760000000001</v>
      </c>
      <c r="X10" s="245">
        <v>-1319.511</v>
      </c>
      <c r="Y10" s="245">
        <v>-1283.357</v>
      </c>
      <c r="Z10" s="245">
        <v>-1310.567</v>
      </c>
      <c r="AA10" s="245">
        <v>-1382.241</v>
      </c>
      <c r="AB10" s="245">
        <v>-1377.03</v>
      </c>
      <c r="AC10" s="245">
        <v>-1363.433</v>
      </c>
      <c r="AD10" s="245">
        <v>-1461.4169999999999</v>
      </c>
      <c r="AE10" s="245">
        <v>-1516.5709999999999</v>
      </c>
      <c r="AF10" s="245">
        <v>-1479.836</v>
      </c>
      <c r="AG10" s="245">
        <v>-1590.404</v>
      </c>
      <c r="AH10" s="245">
        <v>-1718.9880000000001</v>
      </c>
      <c r="AI10" s="245">
        <v>-1687.386</v>
      </c>
      <c r="AJ10" s="245">
        <v>-1592.9219000000001</v>
      </c>
      <c r="AK10" s="245">
        <v>-1664.999</v>
      </c>
      <c r="AL10" s="245">
        <v>-1676.5409999999999</v>
      </c>
      <c r="AM10" s="245">
        <v>-1710.924</v>
      </c>
      <c r="AN10" s="245">
        <v>-1684.971</v>
      </c>
      <c r="AO10" s="245">
        <v>-1768.048</v>
      </c>
      <c r="AP10" s="281"/>
      <c r="AQ10" s="281"/>
      <c r="AR10" s="281"/>
      <c r="AS10" s="281"/>
      <c r="AT10" s="328"/>
      <c r="AU10" s="281"/>
      <c r="AV10" s="329"/>
      <c r="AW10" s="245"/>
      <c r="AX10" s="245"/>
      <c r="AY10" s="245"/>
      <c r="AZ10" s="245"/>
      <c r="BA10" s="245"/>
      <c r="BB10" s="245"/>
      <c r="BC10" s="245"/>
      <c r="BD10" s="245"/>
      <c r="BE10" s="245"/>
      <c r="BF10" s="245"/>
      <c r="BG10" s="245"/>
      <c r="BH10" s="245"/>
      <c r="BI10" s="245"/>
      <c r="BJ10" s="245"/>
      <c r="BK10" s="245"/>
      <c r="BL10" s="245"/>
      <c r="BM10" s="245"/>
      <c r="BN10" s="245"/>
      <c r="BO10" s="245"/>
      <c r="BP10" s="245"/>
      <c r="BQ10" s="245">
        <f t="shared" ref="BQ10:BV12" si="40">+SUMIFS($B10:$AK10,$B$1:$AK$1,"="&amp;BQ$1)</f>
        <v>-4448.8280000000004</v>
      </c>
      <c r="BR10" s="245">
        <f t="shared" si="40"/>
        <v>-4714.8180000000002</v>
      </c>
      <c r="BS10" s="245">
        <f t="shared" si="40"/>
        <v>-4964.0479999999998</v>
      </c>
      <c r="BT10" s="245">
        <f t="shared" si="40"/>
        <v>-5085.7640000000001</v>
      </c>
      <c r="BU10" s="245">
        <f t="shared" si="40"/>
        <v>-5127.0920000000006</v>
      </c>
      <c r="BV10" s="245">
        <f t="shared" si="40"/>
        <v>-5433.2709999999997</v>
      </c>
      <c r="BW10" s="245">
        <f>+SUMIFS($B10:$AK10,$B$1:$AK$1,"="&amp;BW$1)</f>
        <v>-6048.2279999999992</v>
      </c>
      <c r="BX10" s="245">
        <f t="shared" ref="BX10:BX12" si="41">+SUMIFS($B10:$AO10,$B$1:$AO$1,"="&amp;BX$1)</f>
        <v>-6664.2948999999999</v>
      </c>
      <c r="BY10" s="245">
        <f t="shared" ref="BY10:BZ12" si="42">+SUMIFS($B10:$AS10,$B$1:$AS$1,"="&amp;BY$1)</f>
        <v>-6840.4839999999995</v>
      </c>
      <c r="BZ10" s="245">
        <f t="shared" si="42"/>
        <v>0</v>
      </c>
      <c r="CA10" s="281"/>
      <c r="CB10" s="281"/>
      <c r="CC10" s="281"/>
      <c r="CD10" s="281"/>
    </row>
    <row r="11" spans="1:82" ht="13.5" customHeight="1">
      <c r="A11" s="260" t="s">
        <v>56</v>
      </c>
      <c r="B11" s="245"/>
      <c r="C11" s="245"/>
      <c r="D11" s="245"/>
      <c r="E11" s="245"/>
      <c r="F11" s="245">
        <v>-496.505</v>
      </c>
      <c r="G11" s="245">
        <v>-501.42599999999999</v>
      </c>
      <c r="H11" s="245">
        <v>-511.38200000000001</v>
      </c>
      <c r="I11" s="245">
        <v>-474.78500000000003</v>
      </c>
      <c r="J11" s="245">
        <v>-549.80399999999997</v>
      </c>
      <c r="K11" s="245">
        <v>-553.01700000000005</v>
      </c>
      <c r="L11" s="245">
        <v>-471.63799999999998</v>
      </c>
      <c r="M11" s="245">
        <v>-556.56500000000005</v>
      </c>
      <c r="N11" s="245">
        <v>-587.95100000000002</v>
      </c>
      <c r="O11" s="245">
        <v>-594.76700000000005</v>
      </c>
      <c r="P11" s="245">
        <v>-594.76499999999999</v>
      </c>
      <c r="Q11" s="245">
        <v>-605.06200000000001</v>
      </c>
      <c r="R11" s="245">
        <v>-619.80899999999997</v>
      </c>
      <c r="S11" s="245">
        <v>-592.41999999999996</v>
      </c>
      <c r="T11" s="245">
        <v>-592.33299999999997</v>
      </c>
      <c r="U11" s="245">
        <v>-614.54999999999995</v>
      </c>
      <c r="V11" s="245">
        <v>-625.846</v>
      </c>
      <c r="W11" s="245">
        <v>-585.59299999999996</v>
      </c>
      <c r="X11" s="245">
        <v>-546.32600000000002</v>
      </c>
      <c r="Y11" s="245">
        <v>-566.02800000000002</v>
      </c>
      <c r="Z11" s="245">
        <v>-624.84</v>
      </c>
      <c r="AA11" s="245">
        <v>-619.07000000000005</v>
      </c>
      <c r="AB11" s="245">
        <v>-622.30600000000004</v>
      </c>
      <c r="AC11" s="245">
        <v>-548.59699999999998</v>
      </c>
      <c r="AD11" s="245">
        <v>-681.51</v>
      </c>
      <c r="AE11" s="245">
        <v>-692.35199999999998</v>
      </c>
      <c r="AF11" s="245">
        <v>-668.24900000000002</v>
      </c>
      <c r="AG11" s="245">
        <v>-693.95699999999999</v>
      </c>
      <c r="AH11" s="245">
        <v>-717.34</v>
      </c>
      <c r="AI11" s="245">
        <v>-737.82600000000002</v>
      </c>
      <c r="AJ11" s="245">
        <v>-665.44899999999996</v>
      </c>
      <c r="AK11" s="245">
        <v>-787.98</v>
      </c>
      <c r="AL11" s="245">
        <v>-630.81299999999999</v>
      </c>
      <c r="AM11" s="245">
        <v>-634.84400000000005</v>
      </c>
      <c r="AN11" s="245">
        <v>-659.16700000000003</v>
      </c>
      <c r="AO11" s="245">
        <v>-699.25599999999997</v>
      </c>
      <c r="AP11" s="281"/>
      <c r="AQ11" s="281"/>
      <c r="AR11" s="281"/>
      <c r="AS11" s="281"/>
      <c r="AU11" s="281"/>
      <c r="AW11" s="245"/>
      <c r="AX11" s="245"/>
      <c r="AY11" s="245"/>
      <c r="AZ11" s="245"/>
      <c r="BA11" s="245"/>
      <c r="BB11" s="245"/>
      <c r="BC11" s="245"/>
      <c r="BD11" s="245"/>
      <c r="BE11" s="245"/>
      <c r="BF11" s="245"/>
      <c r="BG11" s="245"/>
      <c r="BH11" s="245"/>
      <c r="BI11" s="245"/>
      <c r="BJ11" s="245"/>
      <c r="BK11" s="245"/>
      <c r="BL11" s="245"/>
      <c r="BM11" s="245"/>
      <c r="BN11" s="245"/>
      <c r="BO11" s="245"/>
      <c r="BP11" s="245"/>
      <c r="BQ11" s="245">
        <f t="shared" si="40"/>
        <v>-1984.0980000000002</v>
      </c>
      <c r="BR11" s="245">
        <f t="shared" si="40"/>
        <v>-2131.0239999999999</v>
      </c>
      <c r="BS11" s="245">
        <f t="shared" si="40"/>
        <v>-2382.5450000000001</v>
      </c>
      <c r="BT11" s="245">
        <f t="shared" si="40"/>
        <v>-2419.1120000000001</v>
      </c>
      <c r="BU11" s="245">
        <f t="shared" si="40"/>
        <v>-2323.7929999999997</v>
      </c>
      <c r="BV11" s="245">
        <f t="shared" si="40"/>
        <v>-2414.8130000000001</v>
      </c>
      <c r="BW11" s="245">
        <f>+SUMIFS($B11:$AK11,$B$1:$AK$1,"="&amp;BW$1)</f>
        <v>-2736.0680000000002</v>
      </c>
      <c r="BX11" s="245">
        <f t="shared" si="41"/>
        <v>-2908.5950000000003</v>
      </c>
      <c r="BY11" s="245">
        <f t="shared" si="42"/>
        <v>-2624.08</v>
      </c>
      <c r="BZ11" s="245">
        <f t="shared" si="42"/>
        <v>0</v>
      </c>
      <c r="CA11" s="281"/>
      <c r="CB11" s="281"/>
      <c r="CC11" s="281"/>
      <c r="CD11" s="281"/>
    </row>
    <row r="12" spans="1:82" ht="13.5" customHeight="1">
      <c r="A12" s="260" t="s">
        <v>57</v>
      </c>
      <c r="B12" s="245"/>
      <c r="C12" s="245"/>
      <c r="D12" s="245"/>
      <c r="E12" s="245"/>
      <c r="F12" s="245"/>
      <c r="G12" s="245">
        <v>2.3570000000000002</v>
      </c>
      <c r="H12" s="245">
        <v>4.1040000000000001</v>
      </c>
      <c r="I12" s="245">
        <v>2.2650000000000001</v>
      </c>
      <c r="J12" s="245">
        <v>2.3919999999999999</v>
      </c>
      <c r="K12" s="245">
        <v>-2.7080000000000002</v>
      </c>
      <c r="L12" s="245">
        <v>3.5070000000000001</v>
      </c>
      <c r="M12" s="245">
        <v>5.4909999999999997</v>
      </c>
      <c r="N12" s="245">
        <v>2.31</v>
      </c>
      <c r="O12" s="245">
        <v>9.1859999999999999</v>
      </c>
      <c r="P12" s="245">
        <v>7.1890000000000001</v>
      </c>
      <c r="Q12" s="245">
        <v>3.782</v>
      </c>
      <c r="R12" s="245">
        <v>2.831</v>
      </c>
      <c r="S12" s="245">
        <v>1.444</v>
      </c>
      <c r="T12" s="245">
        <v>1.1639999999999999</v>
      </c>
      <c r="U12" s="245">
        <v>27.452999999999999</v>
      </c>
      <c r="V12" s="245">
        <v>1.7549999999999999</v>
      </c>
      <c r="W12" s="245">
        <v>1.2470000000000001</v>
      </c>
      <c r="X12" s="330">
        <v>4.8460000000000001</v>
      </c>
      <c r="Y12" s="245">
        <v>7.08</v>
      </c>
      <c r="Z12" s="245">
        <v>3.0550000000000002</v>
      </c>
      <c r="AA12" s="245">
        <v>2.6760000000000002</v>
      </c>
      <c r="AB12" s="245">
        <v>7.9359999999999999</v>
      </c>
      <c r="AC12" s="245">
        <v>1.9890000000000001</v>
      </c>
      <c r="AD12" s="245">
        <v>2.7589999999999999</v>
      </c>
      <c r="AE12" s="245">
        <v>1.93</v>
      </c>
      <c r="AF12" s="245">
        <v>1.0389999999999999</v>
      </c>
      <c r="AG12" s="245">
        <v>10.808</v>
      </c>
      <c r="AH12" s="245">
        <v>7.8929999999999998</v>
      </c>
      <c r="AI12" s="245">
        <v>9.07</v>
      </c>
      <c r="AJ12" s="245">
        <v>11.516</v>
      </c>
      <c r="AK12" s="245">
        <v>8.0329999999999995</v>
      </c>
      <c r="AL12" s="245">
        <v>0.73299999999999998</v>
      </c>
      <c r="AM12" s="245">
        <v>16.149000000000001</v>
      </c>
      <c r="AN12" s="245">
        <v>2.8809999999999998</v>
      </c>
      <c r="AO12" s="245">
        <v>2.6040000000000001</v>
      </c>
      <c r="AP12" s="281"/>
      <c r="AQ12" s="281"/>
      <c r="AR12" s="281"/>
      <c r="AS12" s="281"/>
      <c r="AT12" s="324"/>
      <c r="AU12" s="281"/>
      <c r="AV12" s="329"/>
      <c r="AW12" s="245"/>
      <c r="AX12" s="245"/>
      <c r="AY12" s="245"/>
      <c r="AZ12" s="245"/>
      <c r="BA12" s="245"/>
      <c r="BB12" s="245"/>
      <c r="BC12" s="245"/>
      <c r="BD12" s="245"/>
      <c r="BE12" s="245"/>
      <c r="BF12" s="245"/>
      <c r="BG12" s="245"/>
      <c r="BH12" s="245"/>
      <c r="BI12" s="245"/>
      <c r="BJ12" s="245"/>
      <c r="BK12" s="245"/>
      <c r="BL12" s="245"/>
      <c r="BM12" s="245"/>
      <c r="BN12" s="245"/>
      <c r="BO12" s="245"/>
      <c r="BP12" s="245"/>
      <c r="BQ12" s="245">
        <f t="shared" si="40"/>
        <v>8.7260000000000009</v>
      </c>
      <c r="BR12" s="245">
        <f t="shared" si="40"/>
        <v>8.6819999999999986</v>
      </c>
      <c r="BS12" s="245">
        <f t="shared" si="40"/>
        <v>22.467000000000002</v>
      </c>
      <c r="BT12" s="245">
        <f t="shared" si="40"/>
        <v>32.891999999999996</v>
      </c>
      <c r="BU12" s="245">
        <f t="shared" si="40"/>
        <v>14.928000000000001</v>
      </c>
      <c r="BV12" s="245">
        <f t="shared" si="40"/>
        <v>15.656000000000001</v>
      </c>
      <c r="BW12" s="245">
        <f>+SUMIFS($B12:$AK12,$B$1:$AK$1,"="&amp;BW$1)</f>
        <v>16.536000000000001</v>
      </c>
      <c r="BX12" s="245">
        <f t="shared" si="41"/>
        <v>36.512</v>
      </c>
      <c r="BY12" s="245">
        <f t="shared" si="42"/>
        <v>22.367000000000001</v>
      </c>
      <c r="BZ12" s="245">
        <f t="shared" si="42"/>
        <v>0</v>
      </c>
      <c r="CA12" s="281"/>
      <c r="CB12" s="281"/>
      <c r="CC12" s="281"/>
      <c r="CD12" s="281"/>
    </row>
    <row r="13" spans="1:82" s="331" customFormat="1" ht="13.5" customHeight="1">
      <c r="A13" s="331" t="s">
        <v>58</v>
      </c>
      <c r="B13" s="246">
        <f t="shared" ref="B13:P13" si="43">-B8/(B3)</f>
        <v>0.15878765631449915</v>
      </c>
      <c r="C13" s="246">
        <f t="shared" si="43"/>
        <v>0.17045451585957444</v>
      </c>
      <c r="D13" s="246">
        <f t="shared" si="43"/>
        <v>0.14893966447681317</v>
      </c>
      <c r="E13" s="246">
        <f t="shared" si="43"/>
        <v>0.16805551291694171</v>
      </c>
      <c r="F13" s="246">
        <f t="shared" si="43"/>
        <v>0.16332613119888256</v>
      </c>
      <c r="G13" s="246">
        <f t="shared" si="43"/>
        <v>0.16706151060207236</v>
      </c>
      <c r="H13" s="246">
        <f t="shared" si="43"/>
        <v>0.17863680907539953</v>
      </c>
      <c r="I13" s="246">
        <f t="shared" si="43"/>
        <v>0.17227595840920909</v>
      </c>
      <c r="J13" s="246">
        <f t="shared" si="43"/>
        <v>0.1673101298623941</v>
      </c>
      <c r="K13" s="246">
        <f t="shared" si="43"/>
        <v>0.16826571374227259</v>
      </c>
      <c r="L13" s="246">
        <f t="shared" si="43"/>
        <v>0.16834353844599373</v>
      </c>
      <c r="M13" s="246">
        <f t="shared" si="43"/>
        <v>0.16356386684730018</v>
      </c>
      <c r="N13" s="246">
        <f t="shared" si="43"/>
        <v>0.16499219175594698</v>
      </c>
      <c r="O13" s="246">
        <f t="shared" si="43"/>
        <v>0.16934006939083171</v>
      </c>
      <c r="P13" s="246">
        <f t="shared" si="43"/>
        <v>0.17666471153846156</v>
      </c>
      <c r="Q13" s="246">
        <f t="shared" ref="Q13:AG13" si="44">-Q8/(Q3)</f>
        <v>0.16488251087862238</v>
      </c>
      <c r="R13" s="246">
        <f t="shared" si="44"/>
        <v>0.16471876470526858</v>
      </c>
      <c r="S13" s="246">
        <f t="shared" si="44"/>
        <v>0.15411081180998143</v>
      </c>
      <c r="T13" s="246">
        <f t="shared" si="44"/>
        <v>0.16620169613392449</v>
      </c>
      <c r="U13" s="246">
        <f t="shared" si="44"/>
        <v>0.15836522253826121</v>
      </c>
      <c r="V13" s="246">
        <f t="shared" si="44"/>
        <v>0.15883205347040408</v>
      </c>
      <c r="W13" s="246">
        <f t="shared" si="44"/>
        <v>0.15460973341393242</v>
      </c>
      <c r="X13" s="246">
        <f t="shared" si="44"/>
        <v>0.16448526864307192</v>
      </c>
      <c r="Y13" s="246">
        <f t="shared" si="44"/>
        <v>0.15780710344222629</v>
      </c>
      <c r="Z13" s="246">
        <f t="shared" si="44"/>
        <v>0.15392134563384763</v>
      </c>
      <c r="AA13" s="246">
        <f t="shared" si="44"/>
        <v>0.15520245654832038</v>
      </c>
      <c r="AB13" s="246">
        <f t="shared" si="44"/>
        <v>0.15627137720806628</v>
      </c>
      <c r="AC13" s="246">
        <f t="shared" si="44"/>
        <v>0.14947035401325903</v>
      </c>
      <c r="AD13" s="246">
        <f t="shared" si="44"/>
        <v>0.15816126651413387</v>
      </c>
      <c r="AE13" s="246">
        <f t="shared" si="44"/>
        <v>0.16106981208790502</v>
      </c>
      <c r="AF13" s="246">
        <f t="shared" si="44"/>
        <v>0.16950680600500659</v>
      </c>
      <c r="AG13" s="246">
        <f t="shared" si="44"/>
        <v>0.17083903485814486</v>
      </c>
      <c r="AH13" s="246">
        <f t="shared" ref="AH13:AO13" si="45">-AH8/AH3</f>
        <v>0.1766789510657216</v>
      </c>
      <c r="AI13" s="246">
        <f t="shared" si="45"/>
        <v>0.17239209553596815</v>
      </c>
      <c r="AJ13" s="246">
        <f t="shared" si="45"/>
        <v>0.17167870703529917</v>
      </c>
      <c r="AK13" s="246">
        <f t="shared" si="45"/>
        <v>0.17813284103472177</v>
      </c>
      <c r="AL13" s="246">
        <f t="shared" si="45"/>
        <v>0.16680069399262631</v>
      </c>
      <c r="AM13" s="246">
        <f t="shared" ref="AM13" si="46">-AM8/AM3</f>
        <v>0.16672125088841508</v>
      </c>
      <c r="AN13" s="246">
        <f t="shared" si="45"/>
        <v>0.17480521998508575</v>
      </c>
      <c r="AO13" s="246">
        <f t="shared" si="45"/>
        <v>0.17550980311677533</v>
      </c>
      <c r="AP13" s="277">
        <f t="shared" ref="AP13:AS13" si="47">-AP8/AP3</f>
        <v>0.16925364537487081</v>
      </c>
      <c r="AQ13" s="277">
        <f t="shared" si="47"/>
        <v>0.16834779967757035</v>
      </c>
      <c r="AR13" s="277">
        <f t="shared" si="47"/>
        <v>0.17651063676542805</v>
      </c>
      <c r="AS13" s="277">
        <f t="shared" si="47"/>
        <v>0.17722209387889021</v>
      </c>
      <c r="AT13" s="332"/>
      <c r="AU13" s="277">
        <v>0.17550033599479978</v>
      </c>
      <c r="AV13" s="160"/>
      <c r="AW13" s="246">
        <f t="shared" ref="AW13:BV13" si="48">-AW8/(AW3)</f>
        <v>0.10728588444491885</v>
      </c>
      <c r="AX13" s="246">
        <f t="shared" si="48"/>
        <v>0.10469826585230622</v>
      </c>
      <c r="AY13" s="246">
        <f t="shared" si="48"/>
        <v>0.10521723693203065</v>
      </c>
      <c r="AZ13" s="246">
        <f t="shared" si="48"/>
        <v>0.11050236842161514</v>
      </c>
      <c r="BA13" s="246">
        <f t="shared" si="48"/>
        <v>0.12480591123615234</v>
      </c>
      <c r="BB13" s="246">
        <f t="shared" si="48"/>
        <v>0.13029857033158468</v>
      </c>
      <c r="BC13" s="246">
        <f t="shared" si="48"/>
        <v>0.13773916503398298</v>
      </c>
      <c r="BD13" s="246">
        <f t="shared" si="48"/>
        <v>0.13478262867918631</v>
      </c>
      <c r="BE13" s="246">
        <f t="shared" si="48"/>
        <v>0.13374856719571213</v>
      </c>
      <c r="BF13" s="246">
        <f t="shared" si="48"/>
        <v>0.14992811361931743</v>
      </c>
      <c r="BG13" s="246">
        <f t="shared" si="48"/>
        <v>0.14753708677182412</v>
      </c>
      <c r="BH13" s="246">
        <f t="shared" si="48"/>
        <v>0.141736324395413</v>
      </c>
      <c r="BI13" s="246">
        <f t="shared" si="48"/>
        <v>0.13905259558386829</v>
      </c>
      <c r="BJ13" s="246">
        <f t="shared" si="48"/>
        <v>0.14027963028217605</v>
      </c>
      <c r="BK13" s="246">
        <f t="shared" si="48"/>
        <v>0.14570343392132307</v>
      </c>
      <c r="BL13" s="246">
        <f t="shared" si="48"/>
        <v>0.16037696681298738</v>
      </c>
      <c r="BM13" s="246">
        <f t="shared" si="48"/>
        <v>0.15868949409377794</v>
      </c>
      <c r="BN13" s="246">
        <f t="shared" si="48"/>
        <v>0.16687028996229858</v>
      </c>
      <c r="BO13" s="246">
        <f t="shared" si="48"/>
        <v>0.16424416465458208</v>
      </c>
      <c r="BP13" s="246">
        <f t="shared" si="48"/>
        <v>0.16170710309603442</v>
      </c>
      <c r="BQ13" s="246">
        <f t="shared" si="48"/>
        <v>0.17033752266603402</v>
      </c>
      <c r="BR13" s="246">
        <f t="shared" si="48"/>
        <v>0.16686242458112324</v>
      </c>
      <c r="BS13" s="246">
        <f t="shared" si="48"/>
        <v>0.16888358867002587</v>
      </c>
      <c r="BT13" s="246">
        <f t="shared" si="48"/>
        <v>0.16069402121645776</v>
      </c>
      <c r="BU13" s="246">
        <f t="shared" si="48"/>
        <v>0.15888793617208255</v>
      </c>
      <c r="BV13" s="246">
        <f t="shared" si="48"/>
        <v>0.15371859878770441</v>
      </c>
      <c r="BW13" s="246">
        <f>-BW8/(BW3)</f>
        <v>0.1647867466095575</v>
      </c>
      <c r="BX13" s="246">
        <f>-BX8/(BX3)</f>
        <v>0.1747428828694276</v>
      </c>
      <c r="BY13" s="246">
        <f>-BY8/(BY3)</f>
        <v>0.17093020674911219</v>
      </c>
      <c r="BZ13" s="246">
        <f>-BZ8/(BZ3)</f>
        <v>0.17280841233221778</v>
      </c>
      <c r="CA13" s="277">
        <f>-CA8/CA3</f>
        <v>0.1753497125135739</v>
      </c>
      <c r="CB13" s="277">
        <f>-CB8/CB3</f>
        <v>0.17792838475642056</v>
      </c>
      <c r="CC13" s="277">
        <f>-CC8/CC3</f>
        <v>0.18054497864989733</v>
      </c>
      <c r="CD13" s="277">
        <f>-CD8/CD3</f>
        <v>0.18320005186533697</v>
      </c>
    </row>
    <row r="14" spans="1:82" ht="13.5" customHeight="1">
      <c r="A14" s="319" t="s">
        <v>59</v>
      </c>
      <c r="B14" s="247">
        <f>B8+B6</f>
        <v>2050.4639999999986</v>
      </c>
      <c r="C14" s="247">
        <f>C8+C6</f>
        <v>1947.6329999999989</v>
      </c>
      <c r="D14" s="247">
        <f>D8+D6</f>
        <v>2045.9880000000001</v>
      </c>
      <c r="E14" s="247">
        <f>E8+E6</f>
        <v>1974.3249999999996</v>
      </c>
      <c r="F14" s="247">
        <f>F8+F6</f>
        <v>1828.0869999999998</v>
      </c>
      <c r="G14" s="247">
        <f t="shared" ref="G14:P14" si="49">G8+G6+G12</f>
        <v>1796.9350000000004</v>
      </c>
      <c r="H14" s="247">
        <f t="shared" si="49"/>
        <v>1565.8330000000003</v>
      </c>
      <c r="I14" s="247">
        <f t="shared" si="49"/>
        <v>1790.6129999999996</v>
      </c>
      <c r="J14" s="247">
        <f t="shared" si="49"/>
        <v>2020.5839999999996</v>
      </c>
      <c r="K14" s="247">
        <f t="shared" si="49"/>
        <v>2030.1769999999995</v>
      </c>
      <c r="L14" s="247">
        <f t="shared" si="49"/>
        <v>1695.0429999999997</v>
      </c>
      <c r="M14" s="247">
        <f t="shared" si="49"/>
        <v>1757.6020000000001</v>
      </c>
      <c r="N14" s="247">
        <f t="shared" si="49"/>
        <v>2060.0859999999998</v>
      </c>
      <c r="O14" s="247">
        <f t="shared" si="49"/>
        <v>2296.5390000000002</v>
      </c>
      <c r="P14" s="247">
        <f t="shared" si="49"/>
        <v>2155.2629999999995</v>
      </c>
      <c r="Q14" s="247">
        <f t="shared" ref="Q14:AL14" si="50">Q8+Q6+Q12</f>
        <v>2485.4069999999997</v>
      </c>
      <c r="R14" s="247">
        <f t="shared" si="50"/>
        <v>2701.5989999999997</v>
      </c>
      <c r="S14" s="247">
        <f t="shared" si="50"/>
        <v>2820.2380000000003</v>
      </c>
      <c r="T14" s="247">
        <f t="shared" si="50"/>
        <v>2359.9670000000006</v>
      </c>
      <c r="U14" s="247">
        <f t="shared" si="50"/>
        <v>2655.4860000000003</v>
      </c>
      <c r="V14" s="247">
        <f t="shared" si="50"/>
        <v>2741.4529999999995</v>
      </c>
      <c r="W14" s="247">
        <f t="shared" si="50"/>
        <v>2232.5540000000001</v>
      </c>
      <c r="X14" s="247">
        <f t="shared" si="50"/>
        <v>1737.3409999999994</v>
      </c>
      <c r="Y14" s="247">
        <f t="shared" si="50"/>
        <v>1638.3709999999994</v>
      </c>
      <c r="Z14" s="247">
        <f t="shared" si="50"/>
        <v>2005.1860000000004</v>
      </c>
      <c r="AA14" s="247">
        <f t="shared" si="50"/>
        <v>2157.1219999999994</v>
      </c>
      <c r="AB14" s="247">
        <f t="shared" si="50"/>
        <v>2252.9819999999995</v>
      </c>
      <c r="AC14" s="247">
        <f t="shared" si="50"/>
        <v>2524.7640000000006</v>
      </c>
      <c r="AD14" s="247">
        <f t="shared" si="50"/>
        <v>2782.2039999999997</v>
      </c>
      <c r="AE14" s="247">
        <f t="shared" si="50"/>
        <v>3029.3050000000007</v>
      </c>
      <c r="AF14" s="247">
        <f t="shared" si="50"/>
        <v>2943.4989999999993</v>
      </c>
      <c r="AG14" s="247">
        <f t="shared" si="50"/>
        <v>3177.2710000000006</v>
      </c>
      <c r="AH14" s="247">
        <f t="shared" si="50"/>
        <v>3400.1359999999991</v>
      </c>
      <c r="AI14" s="247">
        <f>AI8+AI6+AI12</f>
        <v>3538.2700000000004</v>
      </c>
      <c r="AJ14" s="247">
        <f>AJ8+AJ6+AJ12</f>
        <v>2964.8791000000006</v>
      </c>
      <c r="AK14" s="247">
        <f t="shared" si="50"/>
        <v>2944.0650000000001</v>
      </c>
      <c r="AL14" s="247">
        <f t="shared" si="50"/>
        <v>2976.3790000000004</v>
      </c>
      <c r="AM14" s="247">
        <f t="shared" ref="AM14:AN14" si="51">AM8+AM6+AM12</f>
        <v>3046.306</v>
      </c>
      <c r="AN14" s="247">
        <f t="shared" si="51"/>
        <v>2850.4370000000004</v>
      </c>
      <c r="AO14" s="247">
        <f>AO8+AO6+AO12</f>
        <v>3215.3389999999995</v>
      </c>
      <c r="AP14" s="278">
        <f t="shared" ref="AP14:AS14" si="52">AP8+AP6+AP12</f>
        <v>3191.3616414449266</v>
      </c>
      <c r="AQ14" s="278">
        <f t="shared" si="52"/>
        <v>3351.8111835199784</v>
      </c>
      <c r="AR14" s="278">
        <f t="shared" si="52"/>
        <v>2963.4206503051482</v>
      </c>
      <c r="AS14" s="278">
        <f t="shared" si="52"/>
        <v>3385.8321835789793</v>
      </c>
      <c r="AT14" s="331"/>
      <c r="AU14" s="278">
        <v>3103.2286398275328</v>
      </c>
      <c r="AV14" s="331"/>
      <c r="AW14" s="247">
        <f t="shared" ref="AW14:BP14" si="53">AW8+AW6</f>
        <v>2942.7590000000005</v>
      </c>
      <c r="AX14" s="247">
        <f t="shared" si="53"/>
        <v>3790.4620000000004</v>
      </c>
      <c r="AY14" s="247">
        <f t="shared" si="53"/>
        <v>4580.1759999999995</v>
      </c>
      <c r="AZ14" s="247">
        <f t="shared" si="53"/>
        <v>5087.2949999999992</v>
      </c>
      <c r="BA14" s="247">
        <f t="shared" si="53"/>
        <v>4885.6500000000005</v>
      </c>
      <c r="BB14" s="247">
        <f t="shared" si="53"/>
        <v>4702.6570000000002</v>
      </c>
      <c r="BC14" s="247">
        <f t="shared" si="53"/>
        <v>4475.6140000000032</v>
      </c>
      <c r="BD14" s="247">
        <f t="shared" si="53"/>
        <v>4822.7509999999993</v>
      </c>
      <c r="BE14" s="247">
        <f t="shared" si="53"/>
        <v>5364.2850000000008</v>
      </c>
      <c r="BF14" s="247">
        <f t="shared" si="53"/>
        <v>5746.5930000000017</v>
      </c>
      <c r="BG14" s="247">
        <f t="shared" si="53"/>
        <v>5628.0310000000009</v>
      </c>
      <c r="BH14" s="247">
        <f t="shared" si="53"/>
        <v>5951.0830000000024</v>
      </c>
      <c r="BI14" s="247">
        <f t="shared" si="53"/>
        <v>6702.547999999998</v>
      </c>
      <c r="BJ14" s="247">
        <f t="shared" si="53"/>
        <v>6881.0550000000003</v>
      </c>
      <c r="BK14" s="247">
        <f t="shared" si="53"/>
        <v>5783.3830000000016</v>
      </c>
      <c r="BL14" s="247">
        <f t="shared" si="53"/>
        <v>6635.0990000000002</v>
      </c>
      <c r="BM14" s="247">
        <f t="shared" si="53"/>
        <v>7208.0159999999978</v>
      </c>
      <c r="BN14" s="247">
        <f t="shared" si="53"/>
        <v>5870.0519999999988</v>
      </c>
      <c r="BO14" s="247">
        <f t="shared" si="53"/>
        <v>7138.0910000000022</v>
      </c>
      <c r="BP14" s="247">
        <f t="shared" si="53"/>
        <v>8018.4099999999971</v>
      </c>
      <c r="BQ14" s="247">
        <f t="shared" ref="BQ14:BV14" si="54">BQ8+BQ6+BQ12</f>
        <v>6977.7909999999938</v>
      </c>
      <c r="BR14" s="247">
        <f t="shared" si="54"/>
        <v>7503.4060000000018</v>
      </c>
      <c r="BS14" s="247">
        <f t="shared" si="54"/>
        <v>8997.2950000000019</v>
      </c>
      <c r="BT14" s="247">
        <f t="shared" si="54"/>
        <v>10537.290000000005</v>
      </c>
      <c r="BU14" s="247">
        <f t="shared" si="54"/>
        <v>8349.7189999999919</v>
      </c>
      <c r="BV14" s="247">
        <f t="shared" si="54"/>
        <v>8940.0540000000055</v>
      </c>
      <c r="BW14" s="247">
        <f t="shared" ref="BW14:CD14" si="55">BW8+BW6+BW12</f>
        <v>11932.279000000006</v>
      </c>
      <c r="BX14" s="247">
        <f>BX8+BX6+BX12</f>
        <v>12847.350099999996</v>
      </c>
      <c r="BY14" s="247">
        <f>BY8+BY6+BY12</f>
        <v>12088.460999999998</v>
      </c>
      <c r="BZ14" s="247">
        <f>BZ8+BZ6+BZ12</f>
        <v>12892.425658849032</v>
      </c>
      <c r="CA14" s="278">
        <f t="shared" si="55"/>
        <v>12860.086072956343</v>
      </c>
      <c r="CB14" s="278">
        <f t="shared" si="55"/>
        <v>12878.564953299279</v>
      </c>
      <c r="CC14" s="278">
        <f t="shared" si="55"/>
        <v>12885.273769970845</v>
      </c>
      <c r="CD14" s="278">
        <f t="shared" si="55"/>
        <v>12880.128894501358</v>
      </c>
    </row>
    <row r="15" spans="1:82" ht="13.5" customHeight="1">
      <c r="A15" s="260" t="s">
        <v>60</v>
      </c>
      <c r="B15" s="246">
        <f>B14/B$3</f>
        <v>0.23492089024722621</v>
      </c>
      <c r="C15" s="246">
        <f>C14/C$3</f>
        <v>0.2205361964355857</v>
      </c>
      <c r="D15" s="246">
        <f>D14/D$3</f>
        <v>0.23464626294963092</v>
      </c>
      <c r="E15" s="246">
        <f>E14/E$3</f>
        <v>0.21045620332137743</v>
      </c>
      <c r="F15" s="246">
        <f t="shared" ref="F15:K15" si="56">F14/F$3</f>
        <v>0.19181422438342213</v>
      </c>
      <c r="G15" s="246">
        <f t="shared" si="56"/>
        <v>0.18706566429711727</v>
      </c>
      <c r="H15" s="246">
        <f t="shared" si="56"/>
        <v>0.17024996251600616</v>
      </c>
      <c r="I15" s="246">
        <f>I14/I$3</f>
        <v>0.18984269442778731</v>
      </c>
      <c r="J15" s="246">
        <f t="shared" si="56"/>
        <v>0.19795545643662071</v>
      </c>
      <c r="K15" s="246">
        <f t="shared" si="56"/>
        <v>0.19173237099000259</v>
      </c>
      <c r="L15" s="246">
        <f t="shared" ref="L15:AK15" si="57">L14/L$3</f>
        <v>0.17126836415075272</v>
      </c>
      <c r="M15" s="246">
        <f t="shared" si="57"/>
        <v>0.17007954325527386</v>
      </c>
      <c r="N15" s="246">
        <f t="shared" si="57"/>
        <v>0.18704249137461409</v>
      </c>
      <c r="O15" s="246">
        <f t="shared" si="57"/>
        <v>0.20348692606519145</v>
      </c>
      <c r="P15" s="246">
        <f t="shared" si="57"/>
        <v>0.20723682692307688</v>
      </c>
      <c r="Q15" s="246">
        <f t="shared" si="57"/>
        <v>0.2301089713915378</v>
      </c>
      <c r="R15" s="246">
        <f t="shared" si="57"/>
        <v>0.23105918644488763</v>
      </c>
      <c r="S15" s="246">
        <f t="shared" si="57"/>
        <v>0.22859518471647552</v>
      </c>
      <c r="T15" s="246">
        <f t="shared" si="57"/>
        <v>0.21266483670221076</v>
      </c>
      <c r="U15" s="246">
        <f t="shared" si="57"/>
        <v>0.2293902902651189</v>
      </c>
      <c r="V15" s="246">
        <f t="shared" si="57"/>
        <v>0.22639836108395264</v>
      </c>
      <c r="W15" s="246">
        <f t="shared" si="57"/>
        <v>0.19045491220176933</v>
      </c>
      <c r="X15" s="246">
        <f t="shared" si="57"/>
        <v>0.15315753793585568</v>
      </c>
      <c r="Y15" s="246">
        <f t="shared" si="57"/>
        <v>0.1398013836349617</v>
      </c>
      <c r="Z15" s="246">
        <f t="shared" si="57"/>
        <v>0.15947081278829334</v>
      </c>
      <c r="AA15" s="246">
        <f t="shared" si="57"/>
        <v>0.1672856609864363</v>
      </c>
      <c r="AB15" s="246">
        <f t="shared" si="57"/>
        <v>0.17609676410817568</v>
      </c>
      <c r="AC15" s="246">
        <f t="shared" si="57"/>
        <v>0.19737000406893826</v>
      </c>
      <c r="AD15" s="246">
        <f t="shared" si="57"/>
        <v>0.20534386301572069</v>
      </c>
      <c r="AE15" s="246">
        <f t="shared" si="57"/>
        <v>0.22089026512329824</v>
      </c>
      <c r="AF15" s="246">
        <f t="shared" si="57"/>
        <v>0.23227345005850827</v>
      </c>
      <c r="AG15" s="246">
        <f t="shared" si="57"/>
        <v>0.23761651994705429</v>
      </c>
      <c r="AH15" s="246">
        <f t="shared" si="57"/>
        <v>0.24657290067708379</v>
      </c>
      <c r="AI15" s="246">
        <f>AI14/AI$3</f>
        <v>0.25151194199601934</v>
      </c>
      <c r="AJ15" s="246">
        <f t="shared" si="57"/>
        <v>0.22538663175476695</v>
      </c>
      <c r="AK15" s="246">
        <f t="shared" si="57"/>
        <v>0.21379500706727944</v>
      </c>
      <c r="AL15" s="246">
        <f>AL14/AL$3</f>
        <v>0.21516511241234731</v>
      </c>
      <c r="AM15" s="246">
        <f>AM14/AM$3</f>
        <v>0.21651073205401564</v>
      </c>
      <c r="AN15" s="246">
        <f>AN14/AN$3</f>
        <v>0.21256055182699479</v>
      </c>
      <c r="AO15" s="246">
        <f>AO14/AO$3</f>
        <v>0.22872070682967691</v>
      </c>
      <c r="AP15" s="277">
        <f t="shared" ref="AP15:AS15" si="58">AP14/AP$3</f>
        <v>0.22618274582413231</v>
      </c>
      <c r="AQ15" s="277">
        <f t="shared" si="58"/>
        <v>0.23241362411080338</v>
      </c>
      <c r="AR15" s="277">
        <f t="shared" si="58"/>
        <v>0.21559598045180325</v>
      </c>
      <c r="AS15" s="277">
        <f t="shared" si="58"/>
        <v>0.2349742540851692</v>
      </c>
      <c r="AT15" s="324"/>
      <c r="AU15" s="277">
        <v>0.22202296430520499</v>
      </c>
      <c r="AV15" s="332"/>
      <c r="AW15" s="246">
        <f t="shared" ref="AW15:CD15" si="59">AW14/AW$3</f>
        <v>0.2855529706296896</v>
      </c>
      <c r="AX15" s="246">
        <f t="shared" si="59"/>
        <v>0.30842526513609825</v>
      </c>
      <c r="AY15" s="246">
        <f t="shared" si="59"/>
        <v>0.33026411028032288</v>
      </c>
      <c r="AZ15" s="246">
        <f t="shared" si="59"/>
        <v>0.31982744778916927</v>
      </c>
      <c r="BA15" s="246">
        <f t="shared" si="59"/>
        <v>0.31250249856802076</v>
      </c>
      <c r="BB15" s="246">
        <f t="shared" si="59"/>
        <v>0.29216235794642659</v>
      </c>
      <c r="BC15" s="246">
        <f t="shared" si="59"/>
        <v>0.26172922618484079</v>
      </c>
      <c r="BD15" s="246">
        <f t="shared" si="59"/>
        <v>0.24358670470175903</v>
      </c>
      <c r="BE15" s="246">
        <f t="shared" si="59"/>
        <v>0.24401843160163753</v>
      </c>
      <c r="BF15" s="246">
        <f t="shared" si="59"/>
        <v>0.28612118854804852</v>
      </c>
      <c r="BG15" s="246">
        <f t="shared" si="59"/>
        <v>0.26200977428876127</v>
      </c>
      <c r="BH15" s="246">
        <f t="shared" si="59"/>
        <v>0.25816442836182368</v>
      </c>
      <c r="BI15" s="246">
        <f t="shared" si="59"/>
        <v>0.2713339743286905</v>
      </c>
      <c r="BJ15" s="246">
        <f t="shared" si="59"/>
        <v>0.26267058611871297</v>
      </c>
      <c r="BK15" s="246">
        <f t="shared" si="59"/>
        <v>0.2163437131661626</v>
      </c>
      <c r="BL15" s="246">
        <f t="shared" si="59"/>
        <v>0.22654183231401842</v>
      </c>
      <c r="BM15" s="246">
        <f t="shared" si="59"/>
        <v>0.24287800906248347</v>
      </c>
      <c r="BN15" s="246">
        <f t="shared" si="59"/>
        <v>0.20167250647124232</v>
      </c>
      <c r="BO15" s="246">
        <f t="shared" si="59"/>
        <v>0.22163693525918002</v>
      </c>
      <c r="BP15" s="246">
        <f t="shared" si="59"/>
        <v>0.22485540290679024</v>
      </c>
      <c r="BQ15" s="246">
        <f t="shared" ref="BQ15:BV15" si="60">BQ14/BQ$3</f>
        <v>0.18476500936297838</v>
      </c>
      <c r="BR15" s="246">
        <f t="shared" si="60"/>
        <v>0.1828900692970343</v>
      </c>
      <c r="BS15" s="246">
        <f t="shared" si="60"/>
        <v>0.2068299506890991</v>
      </c>
      <c r="BT15" s="246">
        <f t="shared" si="60"/>
        <v>0.22562391474875387</v>
      </c>
      <c r="BU15" s="246">
        <f t="shared" si="60"/>
        <v>0.17805530746036527</v>
      </c>
      <c r="BV15" s="246">
        <f t="shared" si="60"/>
        <v>0.17510676159511199</v>
      </c>
      <c r="BW15" s="246">
        <f t="shared" si="59"/>
        <v>0.22384052587111652</v>
      </c>
      <c r="BX15" s="246">
        <f>BX14/BX$3</f>
        <v>0.23451465724126092</v>
      </c>
      <c r="BY15" s="246">
        <f>BY14/BY$3</f>
        <v>0.21831783672323199</v>
      </c>
      <c r="BZ15" s="246">
        <f>BZ14/BZ$3</f>
        <v>0.22743565710757141</v>
      </c>
      <c r="CA15" s="277">
        <f t="shared" si="59"/>
        <v>0.22241681718580733</v>
      </c>
      <c r="CB15" s="277">
        <f t="shared" si="59"/>
        <v>0.21836903113866263</v>
      </c>
      <c r="CC15" s="277">
        <f t="shared" si="59"/>
        <v>0.21419880968411237</v>
      </c>
      <c r="CD15" s="277">
        <f t="shared" si="59"/>
        <v>0.20991498398294925</v>
      </c>
    </row>
    <row r="16" spans="1:82" ht="13.5" customHeight="1">
      <c r="A16" s="319" t="s">
        <v>12</v>
      </c>
      <c r="B16" s="247">
        <f t="shared" ref="B16:G16" si="61">+B14-B65</f>
        <v>2458.6849999999986</v>
      </c>
      <c r="C16" s="247">
        <f t="shared" si="61"/>
        <v>2360.148999999999</v>
      </c>
      <c r="D16" s="247">
        <f t="shared" si="61"/>
        <v>2458.2510000000002</v>
      </c>
      <c r="E16" s="247">
        <f t="shared" si="61"/>
        <v>2342.2439999999997</v>
      </c>
      <c r="F16" s="247">
        <f t="shared" si="61"/>
        <v>2264.2299999999996</v>
      </c>
      <c r="G16" s="247">
        <f t="shared" si="61"/>
        <v>2212.0470000000005</v>
      </c>
      <c r="H16" s="247">
        <f t="shared" ref="H16:AH16" si="62">+H14-H65</f>
        <v>1933.7690000000002</v>
      </c>
      <c r="I16" s="247">
        <f t="shared" si="62"/>
        <v>2171.2459999999996</v>
      </c>
      <c r="J16" s="247">
        <f t="shared" si="62"/>
        <v>2436.5839999999998</v>
      </c>
      <c r="K16" s="247">
        <f t="shared" si="62"/>
        <v>2433.1769999999997</v>
      </c>
      <c r="L16" s="247">
        <f t="shared" si="62"/>
        <v>2056.0429999999997</v>
      </c>
      <c r="M16" s="247">
        <f t="shared" si="62"/>
        <v>2139.94</v>
      </c>
      <c r="N16" s="247">
        <f t="shared" si="62"/>
        <v>2558.0859999999998</v>
      </c>
      <c r="O16" s="247">
        <f t="shared" si="62"/>
        <v>2801.3100000000004</v>
      </c>
      <c r="P16" s="247">
        <f t="shared" si="62"/>
        <v>2638.4919999999993</v>
      </c>
      <c r="Q16" s="247">
        <f t="shared" si="62"/>
        <v>2944.8619999999996</v>
      </c>
      <c r="R16" s="247">
        <f t="shared" si="62"/>
        <v>3214.3839999999996</v>
      </c>
      <c r="S16" s="247">
        <f t="shared" si="62"/>
        <v>3331.7010000000005</v>
      </c>
      <c r="T16" s="247">
        <f t="shared" si="62"/>
        <v>2845.0990000000006</v>
      </c>
      <c r="U16" s="247">
        <f t="shared" si="62"/>
        <v>3099.4410000000003</v>
      </c>
      <c r="V16" s="247">
        <f t="shared" si="62"/>
        <v>3242.4529999999995</v>
      </c>
      <c r="W16" s="247">
        <f t="shared" si="62"/>
        <v>2718.5540000000001</v>
      </c>
      <c r="X16" s="247">
        <f t="shared" si="62"/>
        <v>2234.7579999999994</v>
      </c>
      <c r="Y16" s="247">
        <f t="shared" si="62"/>
        <v>2089.2349999999992</v>
      </c>
      <c r="Z16" s="247">
        <f t="shared" si="62"/>
        <v>2514.1860000000006</v>
      </c>
      <c r="AA16" s="247">
        <f t="shared" si="62"/>
        <v>2676.1219999999994</v>
      </c>
      <c r="AB16" s="247">
        <f t="shared" si="62"/>
        <v>2755.9819999999995</v>
      </c>
      <c r="AC16" s="247">
        <f t="shared" si="62"/>
        <v>2962.4900000000007</v>
      </c>
      <c r="AD16" s="247">
        <f t="shared" si="62"/>
        <v>3265.1629999999996</v>
      </c>
      <c r="AE16" s="247">
        <f t="shared" si="62"/>
        <v>3512.2270000000008</v>
      </c>
      <c r="AF16" s="247">
        <f t="shared" si="62"/>
        <v>3429.6179999999995</v>
      </c>
      <c r="AG16" s="247">
        <f t="shared" si="62"/>
        <v>3709.7910000000006</v>
      </c>
      <c r="AH16" s="247">
        <f t="shared" si="62"/>
        <v>3894.2679999999991</v>
      </c>
      <c r="AI16" s="247">
        <f t="shared" ref="AI16:AO16" si="63">+AI14-AI65</f>
        <v>4033.5910000000003</v>
      </c>
      <c r="AJ16" s="247">
        <f t="shared" si="63"/>
        <v>3464.6941000000006</v>
      </c>
      <c r="AK16" s="247">
        <f t="shared" si="63"/>
        <v>3502.4700000000003</v>
      </c>
      <c r="AL16" s="247">
        <f t="shared" si="63"/>
        <v>3470.5690000000004</v>
      </c>
      <c r="AM16" s="247">
        <f>+AM14-AM65</f>
        <v>3568.8890000000001</v>
      </c>
      <c r="AN16" s="247">
        <v>3355</v>
      </c>
      <c r="AO16" s="247">
        <f t="shared" si="63"/>
        <v>3713.2589999999996</v>
      </c>
      <c r="AP16" s="278">
        <f t="shared" ref="AP16:AS16" si="64">+AP14-AP65</f>
        <v>3689.4182444430098</v>
      </c>
      <c r="AQ16" s="278">
        <f t="shared" si="64"/>
        <v>3876.5601544798888</v>
      </c>
      <c r="AR16" s="278">
        <f t="shared" si="64"/>
        <v>3459.2059690975584</v>
      </c>
      <c r="AS16" s="278">
        <f t="shared" si="64"/>
        <v>3877.5064736317245</v>
      </c>
      <c r="AT16" s="323"/>
      <c r="AU16" s="278">
        <v>3672.6967936751253</v>
      </c>
      <c r="AV16" s="418">
        <f>+AO16/AU16-1</f>
        <v>1.1044256742001712E-2</v>
      </c>
      <c r="AW16" s="247">
        <f t="shared" ref="AW16:BV16" si="65">+AW14-AW65</f>
        <v>3554.9010000000007</v>
      </c>
      <c r="AX16" s="247">
        <f t="shared" si="65"/>
        <v>4499.9790000000003</v>
      </c>
      <c r="AY16" s="247">
        <f t="shared" si="65"/>
        <v>5391.9179999999997</v>
      </c>
      <c r="AZ16" s="247">
        <f t="shared" si="65"/>
        <v>5923.2889999999989</v>
      </c>
      <c r="BA16" s="247">
        <f t="shared" si="65"/>
        <v>5816.6810000000005</v>
      </c>
      <c r="BB16" s="247">
        <f t="shared" si="65"/>
        <v>5786.37</v>
      </c>
      <c r="BC16" s="247">
        <f t="shared" si="65"/>
        <v>5646.9800000000032</v>
      </c>
      <c r="BD16" s="247">
        <f t="shared" si="65"/>
        <v>6063.7599999999993</v>
      </c>
      <c r="BE16" s="247">
        <f t="shared" si="65"/>
        <v>6649.2180000000008</v>
      </c>
      <c r="BF16" s="247">
        <f t="shared" si="65"/>
        <v>6747.9290000000019</v>
      </c>
      <c r="BG16" s="247">
        <f t="shared" si="65"/>
        <v>6673.536000000001</v>
      </c>
      <c r="BH16" s="247">
        <f t="shared" si="65"/>
        <v>7106.0760000000028</v>
      </c>
      <c r="BI16" s="247">
        <f t="shared" si="65"/>
        <v>7896.7789999999977</v>
      </c>
      <c r="BJ16" s="247">
        <f t="shared" si="65"/>
        <v>8070.6380000000008</v>
      </c>
      <c r="BK16" s="247">
        <f t="shared" si="65"/>
        <v>7126.3830000000016</v>
      </c>
      <c r="BL16" s="247">
        <f t="shared" si="65"/>
        <v>8133.5730000000003</v>
      </c>
      <c r="BM16" s="247">
        <f t="shared" si="65"/>
        <v>8724.9289999999983</v>
      </c>
      <c r="BN16" s="247">
        <f t="shared" si="65"/>
        <v>7486.0519999999988</v>
      </c>
      <c r="BO16" s="247">
        <f t="shared" si="65"/>
        <v>8802.8640000000014</v>
      </c>
      <c r="BP16" s="247">
        <f t="shared" si="65"/>
        <v>9619.3289999999979</v>
      </c>
      <c r="BQ16" s="247">
        <f t="shared" si="65"/>
        <v>7358.4239999999936</v>
      </c>
      <c r="BR16" s="247">
        <f t="shared" si="65"/>
        <v>7885.7440000000015</v>
      </c>
      <c r="BS16" s="247">
        <f t="shared" si="65"/>
        <v>9456.7500000000018</v>
      </c>
      <c r="BT16" s="247">
        <f t="shared" si="65"/>
        <v>12490.625000000004</v>
      </c>
      <c r="BU16" s="247">
        <f t="shared" si="65"/>
        <v>10284.999999999993</v>
      </c>
      <c r="BV16" s="247">
        <f t="shared" si="65"/>
        <v>10908.780000000006</v>
      </c>
      <c r="BW16" s="247">
        <f t="shared" ref="BW16:CD16" si="66">+BW14-BW65</f>
        <v>13916.799000000006</v>
      </c>
      <c r="BX16" s="247">
        <f t="shared" si="66"/>
        <v>14895.023099999997</v>
      </c>
      <c r="BY16" s="247">
        <f t="shared" si="66"/>
        <v>14105.057999999997</v>
      </c>
      <c r="BZ16" s="247">
        <f t="shared" si="66"/>
        <v>14902.69084165218</v>
      </c>
      <c r="CA16" s="278">
        <f t="shared" si="66"/>
        <v>14855.372313316107</v>
      </c>
      <c r="CB16" s="278">
        <f t="shared" si="66"/>
        <v>14876.836693296091</v>
      </c>
      <c r="CC16" s="278">
        <f t="shared" si="66"/>
        <v>14890.471180186831</v>
      </c>
      <c r="CD16" s="278">
        <f t="shared" si="66"/>
        <v>14895.863097290263</v>
      </c>
    </row>
    <row r="17" spans="1:82" ht="13.5" customHeight="1">
      <c r="A17" s="260" t="s">
        <v>61</v>
      </c>
      <c r="B17" s="246">
        <f t="shared" ref="B17:P17" si="67">+B16/B3</f>
        <v>0.28169061687379121</v>
      </c>
      <c r="C17" s="246">
        <f t="shared" si="67"/>
        <v>0.2672465929059793</v>
      </c>
      <c r="D17" s="246">
        <f t="shared" si="67"/>
        <v>0.28192707412858392</v>
      </c>
      <c r="E17" s="246">
        <f t="shared" si="67"/>
        <v>0.24967509376231187</v>
      </c>
      <c r="F17" s="246">
        <f t="shared" si="67"/>
        <v>0.23757705255585532</v>
      </c>
      <c r="G17" s="246">
        <f t="shared" si="67"/>
        <v>0.23027991636394493</v>
      </c>
      <c r="H17" s="246">
        <f t="shared" si="67"/>
        <v>0.21025492486402744</v>
      </c>
      <c r="I17" s="246">
        <f t="shared" si="67"/>
        <v>0.23019780985928034</v>
      </c>
      <c r="J17" s="246">
        <f t="shared" si="67"/>
        <v>0.23871073801740839</v>
      </c>
      <c r="K17" s="246">
        <f t="shared" si="67"/>
        <v>0.22979217834126858</v>
      </c>
      <c r="L17" s="246">
        <f t="shared" si="67"/>
        <v>0.20774406385773464</v>
      </c>
      <c r="M17" s="246">
        <f t="shared" si="67"/>
        <v>0.20707760789626475</v>
      </c>
      <c r="N17" s="246">
        <f t="shared" si="67"/>
        <v>0.23225767205374975</v>
      </c>
      <c r="O17" s="246">
        <f t="shared" si="67"/>
        <v>0.24821261944851863</v>
      </c>
      <c r="P17" s="246">
        <f t="shared" si="67"/>
        <v>0.25370115384615377</v>
      </c>
      <c r="Q17" s="246">
        <f t="shared" ref="Q17:AG17" si="68">+Q16/Q3</f>
        <v>0.27264716229978703</v>
      </c>
      <c r="R17" s="246">
        <f t="shared" si="68"/>
        <v>0.27491605969704003</v>
      </c>
      <c r="S17" s="246">
        <f t="shared" si="68"/>
        <v>0.27005196210924975</v>
      </c>
      <c r="T17" s="246">
        <f t="shared" si="68"/>
        <v>0.2563817689978814</v>
      </c>
      <c r="U17" s="246">
        <f t="shared" si="68"/>
        <v>0.26774069629800734</v>
      </c>
      <c r="V17" s="246">
        <f t="shared" si="68"/>
        <v>0.26777261732801749</v>
      </c>
      <c r="W17" s="246">
        <f t="shared" si="68"/>
        <v>0.23191464277494242</v>
      </c>
      <c r="X17" s="246">
        <f t="shared" si="68"/>
        <v>0.19700797549960369</v>
      </c>
      <c r="Y17" s="246">
        <f t="shared" si="68"/>
        <v>0.17827338480636512</v>
      </c>
      <c r="Z17" s="246">
        <f t="shared" si="68"/>
        <v>0.19995116907905205</v>
      </c>
      <c r="AA17" s="246">
        <f t="shared" si="68"/>
        <v>0.20753431546771298</v>
      </c>
      <c r="AB17" s="246">
        <f t="shared" si="68"/>
        <v>0.21541206815694852</v>
      </c>
      <c r="AC17" s="246">
        <f t="shared" si="68"/>
        <v>0.23158864090037282</v>
      </c>
      <c r="AD17" s="246">
        <f t="shared" si="68"/>
        <v>0.24098922429699607</v>
      </c>
      <c r="AE17" s="246">
        <f t="shared" si="68"/>
        <v>0.25610387636874016</v>
      </c>
      <c r="AF17" s="246">
        <f t="shared" si="68"/>
        <v>0.27063342139499996</v>
      </c>
      <c r="AG17" s="246">
        <f t="shared" si="68"/>
        <v>0.27744175021611389</v>
      </c>
      <c r="AH17" s="246">
        <f t="shared" ref="AH17:AO17" si="69">AH16/AH$3</f>
        <v>0.28240663219763734</v>
      </c>
      <c r="AI17" s="246">
        <f t="shared" si="69"/>
        <v>0.28672099800966733</v>
      </c>
      <c r="AJ17" s="246">
        <f t="shared" si="69"/>
        <v>0.26338198183514927</v>
      </c>
      <c r="AK17" s="246">
        <f t="shared" si="69"/>
        <v>0.2543458104365679</v>
      </c>
      <c r="AL17" s="246">
        <f t="shared" si="69"/>
        <v>0.25089055157955614</v>
      </c>
      <c r="AM17" s="246">
        <f t="shared" si="69"/>
        <v>0.25365238095238096</v>
      </c>
      <c r="AN17" s="246">
        <f t="shared" si="69"/>
        <v>0.25018642803877705</v>
      </c>
      <c r="AO17" s="246">
        <f t="shared" si="69"/>
        <v>0.26413986927091027</v>
      </c>
      <c r="AP17" s="277">
        <f t="shared" ref="AP17:AS17" si="70">AP16/AP$3</f>
        <v>0.26148172560097194</v>
      </c>
      <c r="AQ17" s="277">
        <f t="shared" si="70"/>
        <v>0.26879956693743057</v>
      </c>
      <c r="AR17" s="277">
        <f t="shared" si="70"/>
        <v>0.25166555494425774</v>
      </c>
      <c r="AS17" s="277">
        <f t="shared" si="70"/>
        <v>0.26909608685594688</v>
      </c>
      <c r="AT17" s="333"/>
      <c r="AU17" s="277">
        <v>0.2627660168705106</v>
      </c>
      <c r="AV17" s="418">
        <f>+AO17-AU17</f>
        <v>1.3738524003996666E-3</v>
      </c>
      <c r="AW17" s="246">
        <f t="shared" ref="AW17:BV17" si="71">+AW16/AW3</f>
        <v>0.34495265865959607</v>
      </c>
      <c r="AX17" s="246">
        <f t="shared" si="71"/>
        <v>0.36615779717139341</v>
      </c>
      <c r="AY17" s="246">
        <f t="shared" si="71"/>
        <v>0.38879663160857963</v>
      </c>
      <c r="AZ17" s="246">
        <f t="shared" si="71"/>
        <v>0.37238461763818698</v>
      </c>
      <c r="BA17" s="246">
        <f t="shared" si="71"/>
        <v>0.37205435220966165</v>
      </c>
      <c r="BB17" s="246">
        <f t="shared" si="71"/>
        <v>0.35949028456688725</v>
      </c>
      <c r="BC17" s="246">
        <f t="shared" si="71"/>
        <v>0.33022948486649473</v>
      </c>
      <c r="BD17" s="246">
        <f t="shared" si="71"/>
        <v>0.30626738069254217</v>
      </c>
      <c r="BE17" s="246">
        <f t="shared" si="71"/>
        <v>0.30246934078584137</v>
      </c>
      <c r="BF17" s="246">
        <f t="shared" si="71"/>
        <v>0.33597741578668344</v>
      </c>
      <c r="BG17" s="246">
        <f t="shared" si="71"/>
        <v>0.31068266345155571</v>
      </c>
      <c r="BH17" s="246">
        <f t="shared" si="71"/>
        <v>0.30826927610246313</v>
      </c>
      <c r="BI17" s="246">
        <f t="shared" si="71"/>
        <v>0.31967908778353277</v>
      </c>
      <c r="BJ17" s="246">
        <f t="shared" si="71"/>
        <v>0.30808055070217538</v>
      </c>
      <c r="BK17" s="246">
        <f t="shared" si="71"/>
        <v>0.26658240681348916</v>
      </c>
      <c r="BL17" s="246">
        <f t="shared" si="71"/>
        <v>0.27770415040978708</v>
      </c>
      <c r="BM17" s="246">
        <f t="shared" si="71"/>
        <v>0.29399121543730272</v>
      </c>
      <c r="BN17" s="246">
        <f t="shared" si="71"/>
        <v>0.25719207775570924</v>
      </c>
      <c r="BO17" s="246">
        <f t="shared" si="71"/>
        <v>0.27332795259451947</v>
      </c>
      <c r="BP17" s="246">
        <f t="shared" si="71"/>
        <v>0.26974900235682286</v>
      </c>
      <c r="BQ17" s="246">
        <f t="shared" si="71"/>
        <v>0.1948437950143197</v>
      </c>
      <c r="BR17" s="246">
        <f t="shared" si="71"/>
        <v>0.19220928024135603</v>
      </c>
      <c r="BS17" s="246">
        <f t="shared" si="71"/>
        <v>0.21739190903256345</v>
      </c>
      <c r="BT17" s="246">
        <f t="shared" si="71"/>
        <v>0.26744862390222279</v>
      </c>
      <c r="BU17" s="246">
        <f t="shared" si="71"/>
        <v>0.2193246068795677</v>
      </c>
      <c r="BV17" s="246">
        <f t="shared" si="71"/>
        <v>0.21366774056997034</v>
      </c>
      <c r="BW17" s="246">
        <f>+BW16/BW3</f>
        <v>0.26106861954892507</v>
      </c>
      <c r="BX17" s="246">
        <f>+BX16/BX3</f>
        <v>0.27189274128189</v>
      </c>
      <c r="BY17" s="246">
        <f>+BY16/BY3</f>
        <v>0.25473761708919912</v>
      </c>
      <c r="BZ17" s="246">
        <f>+BZ16/BZ3</f>
        <v>0.26289880383492847</v>
      </c>
      <c r="CA17" s="277">
        <f>CA16/CA$3</f>
        <v>0.2569255453885444</v>
      </c>
      <c r="CB17" s="277">
        <f>CB16/CB$3</f>
        <v>0.25225173976320431</v>
      </c>
      <c r="CC17" s="277">
        <f>CC16/CC$3</f>
        <v>0.24753228059963958</v>
      </c>
      <c r="CD17" s="277">
        <f>CD16/CD$3</f>
        <v>0.24276658169273266</v>
      </c>
    </row>
    <row r="18" spans="1:82" ht="13.5" customHeight="1">
      <c r="A18" s="260" t="s">
        <v>62</v>
      </c>
      <c r="B18" s="249">
        <v>64.649000000000001</v>
      </c>
      <c r="C18" s="249">
        <v>83.847999999999999</v>
      </c>
      <c r="D18" s="249">
        <v>80.271000000000001</v>
      </c>
      <c r="E18" s="249">
        <v>41.006</v>
      </c>
      <c r="F18" s="249">
        <v>89.305999999999997</v>
      </c>
      <c r="G18" s="245">
        <v>72.796000000000006</v>
      </c>
      <c r="H18" s="245">
        <v>55.215000000000003</v>
      </c>
      <c r="I18" s="245">
        <v>47.155999999999999</v>
      </c>
      <c r="J18" s="249">
        <v>102.27800000000001</v>
      </c>
      <c r="K18" s="249">
        <v>37.923999999999999</v>
      </c>
      <c r="L18" s="249">
        <v>89.409000000000006</v>
      </c>
      <c r="M18" s="249">
        <v>58.503</v>
      </c>
      <c r="N18" s="249">
        <v>95.195999999999998</v>
      </c>
      <c r="O18" s="249">
        <v>87.87</v>
      </c>
      <c r="P18" s="249">
        <v>76.411000000000001</v>
      </c>
      <c r="Q18" s="249">
        <v>62.250999999999998</v>
      </c>
      <c r="R18" s="249">
        <v>141.81200000000001</v>
      </c>
      <c r="S18" s="249">
        <v>58.338000000000001</v>
      </c>
      <c r="T18" s="249">
        <v>211.12200000000001</v>
      </c>
      <c r="U18" s="249">
        <v>187.161</v>
      </c>
      <c r="V18" s="249">
        <v>158.79400000000001</v>
      </c>
      <c r="W18" s="249">
        <v>114.06399999999999</v>
      </c>
      <c r="X18" s="249">
        <v>113.42400000000001</v>
      </c>
      <c r="Y18" s="249">
        <v>118.997</v>
      </c>
      <c r="Z18" s="249">
        <v>113.652</v>
      </c>
      <c r="AA18" s="249">
        <v>100.584</v>
      </c>
      <c r="AB18" s="249">
        <v>187.66200000000001</v>
      </c>
      <c r="AC18" s="249">
        <v>314.18</v>
      </c>
      <c r="AD18" s="249">
        <v>321.20499999999998</v>
      </c>
      <c r="AE18" s="249">
        <v>341.75299999999999</v>
      </c>
      <c r="AF18" s="249">
        <v>316.09699999999998</v>
      </c>
      <c r="AG18" s="249">
        <v>385.09300000000002</v>
      </c>
      <c r="AH18" s="249">
        <v>368.48</v>
      </c>
      <c r="AI18" s="249">
        <v>290.53300000000002</v>
      </c>
      <c r="AJ18" s="249">
        <v>314.363</v>
      </c>
      <c r="AK18" s="249">
        <v>234.83500000000001</v>
      </c>
      <c r="AL18" s="249">
        <v>275.09199999999998</v>
      </c>
      <c r="AM18" s="249">
        <v>156.87799999999999</v>
      </c>
      <c r="AN18" s="249">
        <v>109.825</v>
      </c>
      <c r="AO18" s="249">
        <v>113.351</v>
      </c>
      <c r="AP18" s="282">
        <f t="shared" ref="AP18:AS18" si="72">AO56*AP148/4</f>
        <v>109.24788363366787</v>
      </c>
      <c r="AQ18" s="282">
        <f t="shared" si="72"/>
        <v>182.42315099254409</v>
      </c>
      <c r="AR18" s="282">
        <f t="shared" si="72"/>
        <v>154.6749606955598</v>
      </c>
      <c r="AS18" s="282">
        <f t="shared" si="72"/>
        <v>144.71073009122921</v>
      </c>
      <c r="AT18" s="326"/>
      <c r="AU18" s="282">
        <v>129.61320505820862</v>
      </c>
      <c r="AV18" s="159"/>
      <c r="AW18" s="249">
        <v>295.80799999999999</v>
      </c>
      <c r="AX18" s="249">
        <v>435.33100000000002</v>
      </c>
      <c r="AY18" s="249">
        <v>400.47399999999999</v>
      </c>
      <c r="AZ18" s="249">
        <v>207.06899999999999</v>
      </c>
      <c r="BA18" s="249">
        <v>131.345</v>
      </c>
      <c r="BB18" s="249">
        <v>56.392000000000003</v>
      </c>
      <c r="BC18" s="249">
        <v>49.398000000000003</v>
      </c>
      <c r="BD18" s="249">
        <v>78.319999999999993</v>
      </c>
      <c r="BE18" s="249">
        <v>93.12</v>
      </c>
      <c r="BF18" s="249">
        <v>105.203</v>
      </c>
      <c r="BG18" s="249">
        <v>198.18100000000001</v>
      </c>
      <c r="BH18" s="249">
        <v>206.73699999999999</v>
      </c>
      <c r="BI18" s="249">
        <v>269.36</v>
      </c>
      <c r="BJ18" s="249">
        <v>198.80699999999999</v>
      </c>
      <c r="BK18" s="249">
        <v>174.23400000000001</v>
      </c>
      <c r="BL18" s="249">
        <v>103.149</v>
      </c>
      <c r="BM18" s="249">
        <v>126.874</v>
      </c>
      <c r="BN18" s="249">
        <v>227.327</v>
      </c>
      <c r="BO18" s="249">
        <v>206.68700000000001</v>
      </c>
      <c r="BP18" s="249">
        <v>269.774</v>
      </c>
      <c r="BQ18" s="249">
        <f t="shared" ref="BQ18:BV19" si="73">+SUMIFS($B18:$AK18,$B$1:$AK$1,"="&amp;BQ$1)</f>
        <v>264.47300000000001</v>
      </c>
      <c r="BR18" s="249">
        <f t="shared" si="73"/>
        <v>288.11399999999998</v>
      </c>
      <c r="BS18" s="249">
        <f t="shared" si="73"/>
        <v>321.72799999999995</v>
      </c>
      <c r="BT18" s="249">
        <f t="shared" si="73"/>
        <v>598.43299999999999</v>
      </c>
      <c r="BU18" s="249">
        <f t="shared" si="73"/>
        <v>505.27900000000005</v>
      </c>
      <c r="BV18" s="249">
        <f t="shared" si="73"/>
        <v>716.07799999999997</v>
      </c>
      <c r="BW18" s="249">
        <f>+SUMIFS($B18:$AK18,$B$1:$AK$1,"="&amp;BW$1)</f>
        <v>1364.1479999999999</v>
      </c>
      <c r="BX18" s="249">
        <f>+SUMIFS($B18:$AO18,$B$1:$AO$1,"="&amp;BX$1)</f>
        <v>1208.211</v>
      </c>
      <c r="BY18" s="249">
        <f>+SUMIFS($B18:$AS18,$B$1:$AS$1,"="&amp;BY$1)</f>
        <v>655.14599999999996</v>
      </c>
      <c r="BZ18" s="249">
        <f>+SUMIFS($B18:$AS18,$B$1:$AS$1,"="&amp;BZ$1)</f>
        <v>591.056725413001</v>
      </c>
      <c r="CA18" s="282">
        <f>BZ56*CA148</f>
        <v>441.54434934204664</v>
      </c>
      <c r="CB18" s="282">
        <f>CA56*CB148</f>
        <v>540.60512434292411</v>
      </c>
      <c r="CC18" s="282">
        <f>CB56*CC148</f>
        <v>643.16819536690127</v>
      </c>
      <c r="CD18" s="282">
        <f>CC56*CD148</f>
        <v>750.1506612280017</v>
      </c>
    </row>
    <row r="19" spans="1:82" ht="13.5" customHeight="1">
      <c r="A19" s="260" t="s">
        <v>63</v>
      </c>
      <c r="B19" s="249">
        <v>-294.57600000000002</v>
      </c>
      <c r="C19" s="249">
        <v>-296.024</v>
      </c>
      <c r="D19" s="249">
        <v>-308.22399999999999</v>
      </c>
      <c r="E19" s="249">
        <v>-326.16899999999998</v>
      </c>
      <c r="F19" s="249">
        <v>-333.154</v>
      </c>
      <c r="G19" s="245">
        <v>-372.36599999999999</v>
      </c>
      <c r="H19" s="245">
        <v>-367.67899999999997</v>
      </c>
      <c r="I19" s="245">
        <v>-428.904</v>
      </c>
      <c r="J19" s="249">
        <v>-400.96800000000002</v>
      </c>
      <c r="K19" s="249">
        <v>-492.47300000000001</v>
      </c>
      <c r="L19" s="249">
        <v>-489.41300000000001</v>
      </c>
      <c r="M19" s="249">
        <v>-417.97899999999998</v>
      </c>
      <c r="N19" s="249">
        <v>-462.85599999999999</v>
      </c>
      <c r="O19" s="249">
        <v>-466.38900000000001</v>
      </c>
      <c r="P19" s="249">
        <v>-467.20299999999997</v>
      </c>
      <c r="Q19" s="249">
        <v>-460.09399999999999</v>
      </c>
      <c r="R19" s="249">
        <v>-553.41</v>
      </c>
      <c r="S19" s="249">
        <v>-459.47199999999998</v>
      </c>
      <c r="T19" s="249">
        <v>-638.91499999999996</v>
      </c>
      <c r="U19" s="249">
        <v>-610.80799999999999</v>
      </c>
      <c r="V19" s="249">
        <v>-581.01599999999996</v>
      </c>
      <c r="W19" s="249">
        <v>-566.40200000000004</v>
      </c>
      <c r="X19" s="249">
        <v>-558.476</v>
      </c>
      <c r="Y19" s="249">
        <v>-539.31399999999996</v>
      </c>
      <c r="Z19" s="249">
        <v>-532.60299999999995</v>
      </c>
      <c r="AA19" s="249">
        <v>-529.22699999999998</v>
      </c>
      <c r="AB19" s="249">
        <v>-612.67600000000004</v>
      </c>
      <c r="AC19" s="249">
        <v>-731.39200000000005</v>
      </c>
      <c r="AD19" s="249">
        <v>-736.61699999999996</v>
      </c>
      <c r="AE19" s="249">
        <v>-723.03399999999999</v>
      </c>
      <c r="AF19" s="249">
        <v>-730.11199999999997</v>
      </c>
      <c r="AG19" s="249">
        <v>-718.38</v>
      </c>
      <c r="AH19" s="249">
        <v>-684</v>
      </c>
      <c r="AI19" s="249">
        <v>-646.01800000000003</v>
      </c>
      <c r="AJ19" s="249">
        <v>-601.19100000000003</v>
      </c>
      <c r="AK19" s="249">
        <v>-584.78</v>
      </c>
      <c r="AL19" s="249">
        <v>-569.88800000000003</v>
      </c>
      <c r="AM19" s="249">
        <v>-509.04700000000003</v>
      </c>
      <c r="AN19" s="249">
        <v>-513.83799999999997</v>
      </c>
      <c r="AO19" s="249">
        <v>-512.18899999999996</v>
      </c>
      <c r="AP19" s="282">
        <f t="shared" ref="AP19:AS19" si="74">-AP147*AVERAGE(AO143:AP143)/4</f>
        <v>-439.62334936891722</v>
      </c>
      <c r="AQ19" s="282">
        <f t="shared" si="74"/>
        <v>-430.14010075024748</v>
      </c>
      <c r="AR19" s="282">
        <f t="shared" si="74"/>
        <v>-430.86899289219087</v>
      </c>
      <c r="AS19" s="282">
        <f t="shared" si="74"/>
        <v>-429.19725671165668</v>
      </c>
      <c r="AT19" s="326"/>
      <c r="AU19" s="282">
        <v>-432.40944545399429</v>
      </c>
      <c r="AV19" s="159"/>
      <c r="AW19" s="249">
        <v>-195.328</v>
      </c>
      <c r="AX19" s="249">
        <v>-218.303</v>
      </c>
      <c r="AY19" s="249">
        <v>-310.505</v>
      </c>
      <c r="AZ19" s="249">
        <v>-425.767</v>
      </c>
      <c r="BA19" s="249">
        <v>-440.69499999999999</v>
      </c>
      <c r="BB19" s="249">
        <v>-455.95600000000002</v>
      </c>
      <c r="BC19" s="249">
        <v>-492.85899999999998</v>
      </c>
      <c r="BD19" s="249">
        <v>-520.19500000000005</v>
      </c>
      <c r="BE19" s="249">
        <v>-512.01599999999996</v>
      </c>
      <c r="BF19" s="249">
        <v>-478.39699999999999</v>
      </c>
      <c r="BG19" s="249">
        <v>-546.48</v>
      </c>
      <c r="BH19" s="249">
        <v>-632.88400000000001</v>
      </c>
      <c r="BI19" s="249">
        <v>-778.82299999999998</v>
      </c>
      <c r="BJ19" s="249">
        <v>-684.81299999999999</v>
      </c>
      <c r="BK19" s="249">
        <v>-805.86300000000006</v>
      </c>
      <c r="BL19" s="249">
        <v>-811.66099999999994</v>
      </c>
      <c r="BM19" s="249">
        <v>-746.952</v>
      </c>
      <c r="BN19" s="249">
        <v>-906.45799999999997</v>
      </c>
      <c r="BO19" s="249">
        <v>-1075.5260000000001</v>
      </c>
      <c r="BP19" s="249">
        <v>-1224.9929999999999</v>
      </c>
      <c r="BQ19" s="249">
        <f t="shared" si="73"/>
        <v>-1502.1030000000001</v>
      </c>
      <c r="BR19" s="249">
        <f t="shared" si="73"/>
        <v>-1800.8330000000001</v>
      </c>
      <c r="BS19" s="249">
        <f t="shared" si="73"/>
        <v>-1856.5419999999999</v>
      </c>
      <c r="BT19" s="249">
        <f t="shared" si="73"/>
        <v>-2262.605</v>
      </c>
      <c r="BU19" s="249">
        <f t="shared" si="73"/>
        <v>-2245.2080000000001</v>
      </c>
      <c r="BV19" s="249">
        <f t="shared" si="73"/>
        <v>-2405.8980000000001</v>
      </c>
      <c r="BW19" s="249">
        <f>+SUMIFS($B19:$AK19,$B$1:$AK$1,"="&amp;BW$1)</f>
        <v>-2908.143</v>
      </c>
      <c r="BX19" s="249">
        <f>+SUMIFS($B19:$AO19,$B$1:$AO$1,"="&amp;BX$1)</f>
        <v>-2515.989</v>
      </c>
      <c r="BY19" s="249">
        <f>+SUMIFS($B19:$AS19,$B$1:$AS$1,"="&amp;BY$1)</f>
        <v>-2104.962</v>
      </c>
      <c r="BZ19" s="249">
        <f>+SUMIFS($B19:$AS19,$B$1:$AS$1,"="&amp;BZ$1)</f>
        <v>-1729.8296997230123</v>
      </c>
      <c r="CA19" s="282">
        <f>-CA147*AVERAGE(BZ143:CA143)</f>
        <v>-1442.9924271125815</v>
      </c>
      <c r="CB19" s="282">
        <f>-CB147*AVERAGE(CA143:CB143)</f>
        <v>-1517.0240891858812</v>
      </c>
      <c r="CC19" s="282">
        <f>-CC147*AVERAGE(CB143:CC143)</f>
        <v>-1588.8248746651941</v>
      </c>
      <c r="CD19" s="282">
        <f>-CD147*AVERAGE(CC143:CD143)</f>
        <v>-1569.6677726716678</v>
      </c>
    </row>
    <row r="20" spans="1:82" ht="13.5" customHeight="1">
      <c r="A20" s="260" t="s">
        <v>64</v>
      </c>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83"/>
      <c r="AQ20" s="283"/>
      <c r="AR20" s="283"/>
      <c r="AS20" s="283"/>
      <c r="AT20" s="326"/>
      <c r="AU20" s="283"/>
      <c r="AV20" s="159"/>
      <c r="AW20" s="249"/>
      <c r="AX20" s="249"/>
      <c r="AY20" s="249"/>
      <c r="AZ20" s="249"/>
      <c r="BA20" s="249"/>
      <c r="BB20" s="249"/>
      <c r="BC20" s="249"/>
      <c r="BD20" s="249"/>
      <c r="BE20" s="249"/>
      <c r="BF20" s="249"/>
      <c r="BG20" s="249"/>
      <c r="BH20" s="249"/>
      <c r="BI20" s="249"/>
      <c r="BJ20" s="249"/>
      <c r="BK20" s="249"/>
      <c r="BL20" s="249"/>
      <c r="BM20" s="249"/>
      <c r="BN20" s="249"/>
      <c r="BO20" s="249"/>
      <c r="BP20" s="249"/>
      <c r="BQ20" s="249"/>
      <c r="BR20" s="249"/>
      <c r="BS20" s="249"/>
      <c r="BT20" s="249"/>
      <c r="BU20" s="249"/>
      <c r="BV20" s="249"/>
      <c r="BW20" s="249"/>
      <c r="BX20" s="249"/>
      <c r="BY20" s="249"/>
      <c r="BZ20" s="249"/>
      <c r="CA20" s="283"/>
      <c r="CB20" s="283"/>
      <c r="CC20" s="283"/>
      <c r="CD20" s="283"/>
    </row>
    <row r="21" spans="1:82" ht="13.5" customHeight="1">
      <c r="A21" s="260" t="s">
        <v>65</v>
      </c>
      <c r="B21" s="249">
        <v>-223</v>
      </c>
      <c r="C21" s="249">
        <v>36.058999999999997</v>
      </c>
      <c r="D21" s="249">
        <v>47.209000000000003</v>
      </c>
      <c r="E21" s="249">
        <v>21.681999999999999</v>
      </c>
      <c r="F21" s="249">
        <v>-33.063000000000002</v>
      </c>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83"/>
      <c r="AQ21" s="283"/>
      <c r="AR21" s="283"/>
      <c r="AS21" s="283"/>
      <c r="AT21" s="326"/>
      <c r="AU21" s="283"/>
      <c r="AV21" s="159"/>
      <c r="AW21" s="249">
        <v>-59.502000000000002</v>
      </c>
      <c r="AX21" s="249">
        <v>-643.19600000000003</v>
      </c>
      <c r="AY21" s="249">
        <v>-17.908000000000001</v>
      </c>
      <c r="AZ21" s="249">
        <v>-50.158000000000001</v>
      </c>
      <c r="BA21" s="249">
        <v>-77.962000000000003</v>
      </c>
      <c r="BB21" s="249">
        <v>-588.61500000000001</v>
      </c>
      <c r="BC21" s="249">
        <v>-586.62</v>
      </c>
      <c r="BD21" s="249">
        <v>-67.734999999999999</v>
      </c>
      <c r="BE21" s="249">
        <v>-914.702</v>
      </c>
      <c r="BF21" s="249">
        <v>-218.42099999999999</v>
      </c>
      <c r="BG21" s="249">
        <v>0</v>
      </c>
      <c r="BH21" s="249">
        <v>0</v>
      </c>
      <c r="BI21" s="249">
        <v>0</v>
      </c>
      <c r="BJ21" s="249">
        <v>0</v>
      </c>
      <c r="BK21" s="249">
        <v>0</v>
      </c>
      <c r="BL21" s="249">
        <v>0</v>
      </c>
      <c r="BM21" s="249">
        <v>0</v>
      </c>
      <c r="BN21" s="249">
        <v>-116.922</v>
      </c>
      <c r="BO21" s="249">
        <v>0</v>
      </c>
      <c r="BP21" s="249">
        <v>-118.05</v>
      </c>
      <c r="BQ21" s="249"/>
      <c r="BR21" s="249"/>
      <c r="BS21" s="249"/>
      <c r="BT21" s="249"/>
      <c r="BU21" s="249"/>
      <c r="BV21" s="249"/>
      <c r="BW21" s="249"/>
      <c r="BX21" s="249"/>
      <c r="BY21" s="249"/>
      <c r="BZ21" s="249"/>
      <c r="CA21" s="283"/>
      <c r="CB21" s="283"/>
      <c r="CC21" s="283"/>
      <c r="CD21" s="283"/>
    </row>
    <row r="22" spans="1:82" ht="13.5" customHeight="1">
      <c r="A22" s="260" t="s">
        <v>66</v>
      </c>
      <c r="B22" s="249">
        <v>0</v>
      </c>
      <c r="C22" s="249">
        <v>0</v>
      </c>
      <c r="D22" s="249">
        <v>0</v>
      </c>
      <c r="E22" s="249">
        <v>0</v>
      </c>
      <c r="F22" s="249">
        <v>0</v>
      </c>
      <c r="G22" s="249"/>
      <c r="H22" s="249"/>
      <c r="I22" s="249"/>
      <c r="J22" s="249"/>
      <c r="K22" s="249"/>
      <c r="L22" s="249"/>
      <c r="M22" s="249"/>
      <c r="N22" s="249"/>
      <c r="O22" s="249"/>
      <c r="P22" s="249"/>
      <c r="Q22" s="249"/>
      <c r="R22" s="249"/>
      <c r="S22" s="249"/>
      <c r="T22" s="249"/>
      <c r="U22" s="249"/>
      <c r="V22" s="249"/>
      <c r="W22" s="249"/>
      <c r="X22" s="249"/>
      <c r="Y22" s="249"/>
      <c r="Z22" s="249"/>
      <c r="AA22" s="249"/>
      <c r="AB22" s="249"/>
      <c r="AC22" s="249"/>
      <c r="AD22" s="249"/>
      <c r="AE22" s="249"/>
      <c r="AF22" s="249"/>
      <c r="AG22" s="249"/>
      <c r="AH22" s="249"/>
      <c r="AI22" s="249"/>
      <c r="AJ22" s="249"/>
      <c r="AK22" s="249"/>
      <c r="AL22" s="249"/>
      <c r="AM22" s="249"/>
      <c r="AN22" s="249"/>
      <c r="AO22" s="249"/>
      <c r="AP22" s="284"/>
      <c r="AQ22" s="284"/>
      <c r="AR22" s="284"/>
      <c r="AS22" s="284"/>
      <c r="AT22" s="326"/>
      <c r="AU22" s="284"/>
      <c r="AV22" s="159"/>
      <c r="AW22" s="249">
        <v>382.72800000000001</v>
      </c>
      <c r="AX22" s="249">
        <v>11.456</v>
      </c>
      <c r="AY22" s="249">
        <v>15.041</v>
      </c>
      <c r="AZ22" s="249">
        <v>33.448999999999998</v>
      </c>
      <c r="BA22" s="249">
        <v>5.468</v>
      </c>
      <c r="BB22" s="249">
        <v>5.1420000000000003</v>
      </c>
      <c r="BC22" s="249">
        <v>5.4790000000000001</v>
      </c>
      <c r="BD22" s="249">
        <v>10.233000000000001</v>
      </c>
      <c r="BE22" s="249">
        <v>12.077</v>
      </c>
      <c r="BF22" s="249">
        <v>-4.3869999999999996</v>
      </c>
      <c r="BG22" s="249">
        <v>-461.17500000000001</v>
      </c>
      <c r="BH22" s="249">
        <v>375.64699999999999</v>
      </c>
      <c r="BI22" s="249">
        <v>571.64400000000001</v>
      </c>
      <c r="BJ22" s="249">
        <v>543.92600000000004</v>
      </c>
      <c r="BK22" s="249">
        <v>487.291</v>
      </c>
      <c r="BL22" s="249">
        <v>0</v>
      </c>
      <c r="BM22" s="249">
        <v>0</v>
      </c>
      <c r="BN22" s="249">
        <v>0</v>
      </c>
      <c r="BO22" s="249">
        <v>0</v>
      </c>
      <c r="BP22" s="249">
        <v>0</v>
      </c>
      <c r="BQ22" s="249"/>
      <c r="BR22" s="249"/>
      <c r="BS22" s="249"/>
      <c r="BT22" s="249"/>
      <c r="BU22" s="249"/>
      <c r="BV22" s="249"/>
      <c r="BW22" s="249"/>
      <c r="BX22" s="249"/>
      <c r="BY22" s="249"/>
      <c r="BZ22" s="249"/>
      <c r="CA22" s="284"/>
      <c r="CB22" s="284"/>
      <c r="CC22" s="284"/>
      <c r="CD22" s="284"/>
    </row>
    <row r="23" spans="1:82" ht="13.5" customHeight="1">
      <c r="A23" s="319" t="s">
        <v>67</v>
      </c>
      <c r="B23" s="247">
        <f>+SUM(B18:B22)+B14</f>
        <v>1597.5369999999984</v>
      </c>
      <c r="C23" s="247">
        <f>+SUM(C18:C22)+C14</f>
        <v>1771.5159999999989</v>
      </c>
      <c r="D23" s="247">
        <f>+SUM(D18:D22)+D14</f>
        <v>1865.2440000000001</v>
      </c>
      <c r="E23" s="247">
        <f>+SUM(E18:E22)+E14</f>
        <v>1710.8439999999996</v>
      </c>
      <c r="F23" s="247">
        <f t="shared" ref="F23:K23" si="75">+SUM(F18:F22)+F14</f>
        <v>1551.1759999999997</v>
      </c>
      <c r="G23" s="247">
        <f t="shared" si="75"/>
        <v>1497.3650000000005</v>
      </c>
      <c r="H23" s="247">
        <f t="shared" si="75"/>
        <v>1253.3690000000004</v>
      </c>
      <c r="I23" s="247">
        <f>+SUM(I18:I22)+I14</f>
        <v>1408.8649999999996</v>
      </c>
      <c r="J23" s="247">
        <f t="shared" si="75"/>
        <v>1721.8939999999996</v>
      </c>
      <c r="K23" s="247">
        <f t="shared" si="75"/>
        <v>1575.6279999999995</v>
      </c>
      <c r="L23" s="247">
        <f t="shared" ref="L23:AK23" si="76">+SUM(L18:L22)+L14</f>
        <v>1295.0389999999998</v>
      </c>
      <c r="M23" s="247">
        <f t="shared" si="76"/>
        <v>1398.1260000000002</v>
      </c>
      <c r="N23" s="247">
        <f t="shared" si="76"/>
        <v>1692.4259999999999</v>
      </c>
      <c r="O23" s="247">
        <f t="shared" si="76"/>
        <v>1918.0200000000002</v>
      </c>
      <c r="P23" s="247">
        <f t="shared" si="76"/>
        <v>1764.4709999999995</v>
      </c>
      <c r="Q23" s="247">
        <f t="shared" si="76"/>
        <v>2087.5639999999999</v>
      </c>
      <c r="R23" s="247">
        <f t="shared" si="76"/>
        <v>2290.0009999999997</v>
      </c>
      <c r="S23" s="247">
        <f t="shared" si="76"/>
        <v>2419.1040000000003</v>
      </c>
      <c r="T23" s="247">
        <f t="shared" si="76"/>
        <v>1932.1740000000007</v>
      </c>
      <c r="U23" s="247">
        <f t="shared" si="76"/>
        <v>2231.8390000000004</v>
      </c>
      <c r="V23" s="247">
        <f t="shared" si="76"/>
        <v>2319.2309999999998</v>
      </c>
      <c r="W23" s="247">
        <f t="shared" si="76"/>
        <v>1780.2159999999999</v>
      </c>
      <c r="X23" s="247">
        <f t="shared" si="76"/>
        <v>1292.2889999999993</v>
      </c>
      <c r="Y23" s="247">
        <f t="shared" si="76"/>
        <v>1218.0539999999994</v>
      </c>
      <c r="Z23" s="247">
        <f t="shared" si="76"/>
        <v>1586.2350000000004</v>
      </c>
      <c r="AA23" s="247">
        <f t="shared" si="76"/>
        <v>1728.4789999999994</v>
      </c>
      <c r="AB23" s="247">
        <f t="shared" si="76"/>
        <v>1827.9679999999994</v>
      </c>
      <c r="AC23" s="247">
        <f t="shared" si="76"/>
        <v>2107.5520000000006</v>
      </c>
      <c r="AD23" s="247">
        <f t="shared" si="76"/>
        <v>2366.7919999999999</v>
      </c>
      <c r="AE23" s="247">
        <f t="shared" si="76"/>
        <v>2648.0240000000008</v>
      </c>
      <c r="AF23" s="247">
        <f t="shared" si="76"/>
        <v>2529.4839999999995</v>
      </c>
      <c r="AG23" s="247">
        <f t="shared" si="76"/>
        <v>2843.9840000000008</v>
      </c>
      <c r="AH23" s="247">
        <f t="shared" si="76"/>
        <v>3084.6159999999991</v>
      </c>
      <c r="AI23" s="247">
        <f t="shared" si="76"/>
        <v>3182.7850000000003</v>
      </c>
      <c r="AJ23" s="247">
        <f t="shared" si="76"/>
        <v>2678.0511000000006</v>
      </c>
      <c r="AK23" s="247">
        <f t="shared" si="76"/>
        <v>2594.12</v>
      </c>
      <c r="AL23" s="247">
        <f>+SUM(AL18:AL22)+AL14</f>
        <v>2681.5830000000005</v>
      </c>
      <c r="AM23" s="247">
        <f>+SUM(AM18:AM22)+AM14</f>
        <v>2694.1370000000002</v>
      </c>
      <c r="AN23" s="247">
        <f>+SUM(AN18:AN22)+AN14</f>
        <v>2446.4240000000004</v>
      </c>
      <c r="AO23" s="247">
        <f>+SUM(AO18:AO22)+AO14</f>
        <v>2816.5009999999993</v>
      </c>
      <c r="AP23" s="285">
        <f t="shared" ref="AP23:AS23" si="77">+SUM(AP18:AP22)+AP14</f>
        <v>2860.9861757096774</v>
      </c>
      <c r="AQ23" s="285">
        <f t="shared" si="77"/>
        <v>3104.0942337622751</v>
      </c>
      <c r="AR23" s="285">
        <f t="shared" si="77"/>
        <v>2687.226618108517</v>
      </c>
      <c r="AS23" s="285">
        <f t="shared" si="77"/>
        <v>3101.3456569585519</v>
      </c>
      <c r="AT23" s="328"/>
      <c r="AU23" s="285">
        <v>2800.4323994317469</v>
      </c>
      <c r="AV23" s="329"/>
      <c r="AW23" s="247">
        <f t="shared" ref="AW23:BO23" si="78">+SUM(AW18:AW22)+AW14</f>
        <v>3366.4650000000006</v>
      </c>
      <c r="AX23" s="247">
        <f t="shared" si="78"/>
        <v>3375.7500000000005</v>
      </c>
      <c r="AY23" s="247">
        <f t="shared" si="78"/>
        <v>4667.2779999999993</v>
      </c>
      <c r="AZ23" s="247">
        <f t="shared" si="78"/>
        <v>4851.887999999999</v>
      </c>
      <c r="BA23" s="247">
        <f t="shared" si="78"/>
        <v>4503.8060000000005</v>
      </c>
      <c r="BB23" s="247">
        <f t="shared" si="78"/>
        <v>3719.62</v>
      </c>
      <c r="BC23" s="247">
        <f t="shared" si="78"/>
        <v>3451.0120000000034</v>
      </c>
      <c r="BD23" s="247">
        <f t="shared" si="78"/>
        <v>4323.3739999999989</v>
      </c>
      <c r="BE23" s="247">
        <f t="shared" si="78"/>
        <v>4042.764000000001</v>
      </c>
      <c r="BF23" s="247">
        <f t="shared" si="78"/>
        <v>5150.5910000000022</v>
      </c>
      <c r="BG23" s="247">
        <f t="shared" si="78"/>
        <v>4818.5570000000007</v>
      </c>
      <c r="BH23" s="247">
        <f t="shared" si="78"/>
        <v>5900.5830000000024</v>
      </c>
      <c r="BI23" s="247">
        <f t="shared" si="78"/>
        <v>6764.7289999999975</v>
      </c>
      <c r="BJ23" s="247">
        <f>+SUM(BJ18:BJ22)+BJ14</f>
        <v>6938.9750000000004</v>
      </c>
      <c r="BK23" s="247">
        <f>+SUM(BK18:BK22)+BK14</f>
        <v>5639.0450000000019</v>
      </c>
      <c r="BL23" s="247">
        <f t="shared" si="78"/>
        <v>5926.5870000000004</v>
      </c>
      <c r="BM23" s="247">
        <f t="shared" si="78"/>
        <v>6587.9379999999983</v>
      </c>
      <c r="BN23" s="247">
        <f t="shared" si="78"/>
        <v>5073.9989999999989</v>
      </c>
      <c r="BO23" s="247">
        <f t="shared" si="78"/>
        <v>6269.2520000000022</v>
      </c>
      <c r="BP23" s="247">
        <f t="shared" ref="BP23:BV23" si="79">+SUM(BP18:BP22)+BP14</f>
        <v>6945.1409999999969</v>
      </c>
      <c r="BQ23" s="247">
        <f t="shared" si="79"/>
        <v>5740.1609999999937</v>
      </c>
      <c r="BR23" s="247">
        <f t="shared" si="79"/>
        <v>5990.6870000000017</v>
      </c>
      <c r="BS23" s="247">
        <f t="shared" si="79"/>
        <v>7462.4810000000016</v>
      </c>
      <c r="BT23" s="247">
        <f t="shared" si="79"/>
        <v>8873.118000000004</v>
      </c>
      <c r="BU23" s="247">
        <f t="shared" si="79"/>
        <v>6609.7899999999918</v>
      </c>
      <c r="BV23" s="247">
        <f t="shared" si="79"/>
        <v>7250.2340000000058</v>
      </c>
      <c r="BW23" s="247">
        <f t="shared" ref="BW23:CD23" si="80">+SUM(BW18:BW22)+BW14</f>
        <v>10388.284000000005</v>
      </c>
      <c r="BX23" s="247">
        <f>+SUM(BX18:BX22)+BX14</f>
        <v>11539.572099999996</v>
      </c>
      <c r="BY23" s="247">
        <f>+SUM(BY18:BY22)+BY14</f>
        <v>10638.644999999997</v>
      </c>
      <c r="BZ23" s="247">
        <f>+SUM(BZ18:BZ22)+BZ14</f>
        <v>11753.65268453902</v>
      </c>
      <c r="CA23" s="285">
        <f t="shared" si="80"/>
        <v>11858.637995185807</v>
      </c>
      <c r="CB23" s="285">
        <f t="shared" si="80"/>
        <v>11902.145988456323</v>
      </c>
      <c r="CC23" s="285">
        <f t="shared" si="80"/>
        <v>11939.617090672553</v>
      </c>
      <c r="CD23" s="285">
        <f t="shared" si="80"/>
        <v>12060.611783057693</v>
      </c>
    </row>
    <row r="24" spans="1:82" ht="13.5" customHeight="1">
      <c r="A24" s="260" t="s">
        <v>68</v>
      </c>
      <c r="B24" s="250">
        <v>-487.74200000000002</v>
      </c>
      <c r="C24" s="250">
        <v>-593.46100000000001</v>
      </c>
      <c r="D24" s="250">
        <v>-552.42999999999995</v>
      </c>
      <c r="E24" s="250">
        <v>-522.29600000000005</v>
      </c>
      <c r="F24" s="250">
        <v>-466.57600000000002</v>
      </c>
      <c r="G24" s="245">
        <v>-478.738</v>
      </c>
      <c r="H24" s="245">
        <v>-400.11500000000001</v>
      </c>
      <c r="I24" s="245">
        <v>-358.17599999999999</v>
      </c>
      <c r="J24" s="250">
        <v>-518.58299999999997</v>
      </c>
      <c r="K24" s="250">
        <v>-482.31599999999997</v>
      </c>
      <c r="L24" s="250">
        <v>-389.32900000000001</v>
      </c>
      <c r="M24" s="250">
        <v>-392.37599999999998</v>
      </c>
      <c r="N24" s="250">
        <v>-535.78499999999997</v>
      </c>
      <c r="O24" s="250">
        <v>-610.96199999999999</v>
      </c>
      <c r="P24" s="250">
        <v>-528.63900000000001</v>
      </c>
      <c r="Q24" s="250">
        <v>-638.625</v>
      </c>
      <c r="R24" s="250">
        <v>-770.255</v>
      </c>
      <c r="S24" s="250">
        <v>-749.80600000000004</v>
      </c>
      <c r="T24" s="250">
        <v>-619.90499999999997</v>
      </c>
      <c r="U24" s="250">
        <v>-652.16700000000003</v>
      </c>
      <c r="V24" s="250">
        <v>-735.67700000000002</v>
      </c>
      <c r="W24" s="250">
        <v>-564.13900000000001</v>
      </c>
      <c r="X24" s="250">
        <v>-418.11399999999998</v>
      </c>
      <c r="Y24" s="250">
        <v>-432.12200000000001</v>
      </c>
      <c r="Z24" s="250">
        <v>-494.95499999999998</v>
      </c>
      <c r="AA24" s="250">
        <v>-552.25199999999995</v>
      </c>
      <c r="AB24" s="250">
        <v>-583.40800000000002</v>
      </c>
      <c r="AC24" s="250">
        <v>-683.78300000000002</v>
      </c>
      <c r="AD24" s="250">
        <v>-754.38400000000001</v>
      </c>
      <c r="AE24" s="250">
        <v>-848.71400000000006</v>
      </c>
      <c r="AF24" s="250">
        <v>-858.71400000000006</v>
      </c>
      <c r="AG24" s="250">
        <v>-913.69500000000005</v>
      </c>
      <c r="AH24" s="250">
        <v>-1003.053</v>
      </c>
      <c r="AI24" s="250">
        <v>-1049.4449999999999</v>
      </c>
      <c r="AJ24" s="250">
        <v>-853.702</v>
      </c>
      <c r="AK24" s="250">
        <v>-802.60900000000004</v>
      </c>
      <c r="AL24" s="250">
        <v>-842.274</v>
      </c>
      <c r="AM24" s="250">
        <v>-828.02200000000005</v>
      </c>
      <c r="AN24" s="250">
        <v>-768.57299999999998</v>
      </c>
      <c r="AO24" s="250">
        <v>-621.11199999999997</v>
      </c>
      <c r="AP24" s="282">
        <f t="shared" ref="AP24:AS24" si="81">-AP25*AP23</f>
        <v>-886.90571447000002</v>
      </c>
      <c r="AQ24" s="282">
        <f t="shared" si="81"/>
        <v>-962.26921246630525</v>
      </c>
      <c r="AR24" s="282">
        <f t="shared" si="81"/>
        <v>-833.04025161364029</v>
      </c>
      <c r="AS24" s="282">
        <f t="shared" si="81"/>
        <v>-961.41715365715106</v>
      </c>
      <c r="AT24" s="332"/>
      <c r="AU24" s="282">
        <v>-879.78892069749782</v>
      </c>
      <c r="AV24" s="332"/>
      <c r="AW24" s="250">
        <v>-1412.1969999999999</v>
      </c>
      <c r="AX24" s="250">
        <v>-1492.884</v>
      </c>
      <c r="AY24" s="250">
        <v>-2098.491</v>
      </c>
      <c r="AZ24" s="250">
        <v>-2035.6279999999999</v>
      </c>
      <c r="BA24" s="250">
        <v>-1963.3510000000001</v>
      </c>
      <c r="BB24" s="250">
        <v>-1784.682</v>
      </c>
      <c r="BC24" s="250">
        <v>-1590.598</v>
      </c>
      <c r="BD24" s="250">
        <v>-1678.99</v>
      </c>
      <c r="BE24" s="250">
        <v>-1500.1790000000001</v>
      </c>
      <c r="BF24" s="250">
        <v>-1759.9490000000001</v>
      </c>
      <c r="BG24" s="250">
        <v>-1214.347</v>
      </c>
      <c r="BH24" s="250">
        <v>-831.33799999999997</v>
      </c>
      <c r="BI24" s="250">
        <v>-1488.116</v>
      </c>
      <c r="BJ24" s="250">
        <v>-1687.1679999999999</v>
      </c>
      <c r="BK24" s="250">
        <v>-1483</v>
      </c>
      <c r="BL24" s="250">
        <v>-1838.2729999999999</v>
      </c>
      <c r="BM24" s="250">
        <v>-1990.223</v>
      </c>
      <c r="BN24" s="250">
        <v>-1529.8810000000001</v>
      </c>
      <c r="BO24" s="250">
        <v>-1940.202</v>
      </c>
      <c r="BP24" s="250">
        <v>-2155.9290000000001</v>
      </c>
      <c r="BQ24" s="250">
        <f t="shared" ref="BQ24:BV24" si="82">+SUMIFS($B24:$AK24,$B$1:$AK$1,"="&amp;BQ$1)</f>
        <v>-1703.605</v>
      </c>
      <c r="BR24" s="250">
        <f t="shared" si="82"/>
        <v>-1782.6039999999998</v>
      </c>
      <c r="BS24" s="250">
        <f t="shared" si="82"/>
        <v>-2314.011</v>
      </c>
      <c r="BT24" s="250">
        <f t="shared" si="82"/>
        <v>-2792.1330000000003</v>
      </c>
      <c r="BU24" s="250">
        <f t="shared" si="82"/>
        <v>-2150.0520000000001</v>
      </c>
      <c r="BV24" s="250">
        <f t="shared" si="82"/>
        <v>-2314.3979999999997</v>
      </c>
      <c r="BW24" s="250">
        <f>+SUMIFS($B24:$AK24,$B$1:$AK$1,"="&amp;BW$1)</f>
        <v>-3375.5070000000001</v>
      </c>
      <c r="BX24" s="250">
        <f>+SUMIFS($B24:$AO24,$B$1:$AO$1,"="&amp;BX$1)</f>
        <v>-3708.8089999999997</v>
      </c>
      <c r="BY24" s="250">
        <f>+SUMIFS($B24:$AS24,$B$1:$AS$1,"="&amp;BY$1)</f>
        <v>-3059.9810000000002</v>
      </c>
      <c r="BZ24" s="250">
        <f>+SUMIFS($B24:$AS24,$B$1:$AS$1,"="&amp;BZ$1)</f>
        <v>-3643.6323322070966</v>
      </c>
      <c r="CA24" s="282">
        <f>-CA25*CA23</f>
        <v>-3735.4709684835293</v>
      </c>
      <c r="CB24" s="282">
        <f>-CB25*CB23</f>
        <v>-3749.1759863637417</v>
      </c>
      <c r="CC24" s="282">
        <f>-CC25*CC23</f>
        <v>-3760.9793835618543</v>
      </c>
      <c r="CD24" s="282">
        <f>-CD25*CD23</f>
        <v>-3799.0927116631733</v>
      </c>
    </row>
    <row r="25" spans="1:82" s="319" customFormat="1" ht="13.5" customHeight="1">
      <c r="A25" s="319" t="s">
        <v>69</v>
      </c>
      <c r="B25" s="251">
        <f>-B24/B23</f>
        <v>0.30530873463337654</v>
      </c>
      <c r="C25" s="251">
        <f>-C24/C23</f>
        <v>0.33500177249316426</v>
      </c>
      <c r="D25" s="251">
        <f>-D24/D23</f>
        <v>0.29617036698683918</v>
      </c>
      <c r="E25" s="251">
        <f>-E24/E23</f>
        <v>0.30528557834612635</v>
      </c>
      <c r="F25" s="251">
        <f t="shared" ref="F25:K25" si="83">-F24/F23</f>
        <v>0.30078856299994333</v>
      </c>
      <c r="G25" s="251">
        <f t="shared" si="83"/>
        <v>0.31972030867557333</v>
      </c>
      <c r="H25" s="251">
        <f t="shared" si="83"/>
        <v>0.31923160697288661</v>
      </c>
      <c r="I25" s="251">
        <f>-I24/I23</f>
        <v>0.25423017819308458</v>
      </c>
      <c r="J25" s="251">
        <f t="shared" si="83"/>
        <v>0.30117010687069012</v>
      </c>
      <c r="K25" s="251">
        <f t="shared" si="83"/>
        <v>0.30611032553369205</v>
      </c>
      <c r="L25" s="251">
        <f t="shared" ref="L25:AH25" si="84">-L24/L23</f>
        <v>0.30063110068499876</v>
      </c>
      <c r="M25" s="251">
        <f t="shared" si="84"/>
        <v>0.2806442337815046</v>
      </c>
      <c r="N25" s="251">
        <f t="shared" si="84"/>
        <v>0.31657809558586314</v>
      </c>
      <c r="O25" s="251">
        <f t="shared" si="84"/>
        <v>0.31853786717552474</v>
      </c>
      <c r="P25" s="251">
        <f t="shared" si="84"/>
        <v>0.29960197702314184</v>
      </c>
      <c r="Q25" s="251">
        <f t="shared" si="84"/>
        <v>0.30591876464625756</v>
      </c>
      <c r="R25" s="251">
        <f t="shared" si="84"/>
        <v>0.33635574831626713</v>
      </c>
      <c r="S25" s="251">
        <f t="shared" si="84"/>
        <v>0.30995194915142132</v>
      </c>
      <c r="T25" s="251">
        <f t="shared" si="84"/>
        <v>0.32083290635315442</v>
      </c>
      <c r="U25" s="251">
        <f t="shared" si="84"/>
        <v>0.29221059404374594</v>
      </c>
      <c r="V25" s="251">
        <f t="shared" si="84"/>
        <v>0.31720729845366852</v>
      </c>
      <c r="W25" s="251">
        <f t="shared" si="84"/>
        <v>0.31689356797152707</v>
      </c>
      <c r="X25" s="251">
        <f t="shared" si="84"/>
        <v>0.32354527508939579</v>
      </c>
      <c r="Y25" s="251">
        <f t="shared" si="84"/>
        <v>0.35476423869549317</v>
      </c>
      <c r="Z25" s="251">
        <f t="shared" si="84"/>
        <v>0.31203131944510104</v>
      </c>
      <c r="AA25" s="251">
        <f t="shared" si="84"/>
        <v>0.31950171219899121</v>
      </c>
      <c r="AB25" s="251">
        <f t="shared" si="84"/>
        <v>0.31915657166865075</v>
      </c>
      <c r="AC25" s="251">
        <f t="shared" si="84"/>
        <v>0.32444418927741753</v>
      </c>
      <c r="AD25" s="251">
        <f t="shared" si="84"/>
        <v>0.31873692322772768</v>
      </c>
      <c r="AE25" s="251">
        <f t="shared" si="84"/>
        <v>0.32050842439494498</v>
      </c>
      <c r="AF25" s="251">
        <f t="shared" si="84"/>
        <v>0.33948188642426685</v>
      </c>
      <c r="AG25" s="251">
        <f t="shared" si="84"/>
        <v>0.32127290448891405</v>
      </c>
      <c r="AH25" s="251">
        <f t="shared" si="84"/>
        <v>0.32517921193432192</v>
      </c>
      <c r="AI25" s="251">
        <f t="shared" ref="AI25:AO25" si="85">-AI24/AI23</f>
        <v>0.32972538201606449</v>
      </c>
      <c r="AJ25" s="251">
        <f t="shared" si="85"/>
        <v>0.31877733774385403</v>
      </c>
      <c r="AK25" s="251">
        <f t="shared" si="85"/>
        <v>0.30939547900636827</v>
      </c>
      <c r="AL25" s="251">
        <f t="shared" si="85"/>
        <v>0.31409581579238827</v>
      </c>
      <c r="AM25" s="251">
        <f t="shared" si="85"/>
        <v>0.30734220271649138</v>
      </c>
      <c r="AN25" s="251">
        <f t="shared" si="85"/>
        <v>0.31416181332426424</v>
      </c>
      <c r="AO25" s="636">
        <f t="shared" si="85"/>
        <v>0.22052610668343456</v>
      </c>
      <c r="AP25" s="286">
        <v>0.31</v>
      </c>
      <c r="AQ25" s="286">
        <f t="shared" ref="AQ25:AS25" si="86">+AP25</f>
        <v>0.31</v>
      </c>
      <c r="AR25" s="286">
        <f t="shared" si="86"/>
        <v>0.31</v>
      </c>
      <c r="AS25" s="286">
        <f t="shared" si="86"/>
        <v>0.31</v>
      </c>
      <c r="AT25" s="324"/>
      <c r="AU25" s="286">
        <v>0.31416181332426424</v>
      </c>
      <c r="AV25" s="329"/>
      <c r="AW25" s="251">
        <f t="shared" ref="AW25:BO25" si="87">-AW24/AW23</f>
        <v>0.41948958328691954</v>
      </c>
      <c r="AX25" s="251">
        <f t="shared" si="87"/>
        <v>0.44223772495001107</v>
      </c>
      <c r="AY25" s="251">
        <f t="shared" si="87"/>
        <v>0.4496177429328187</v>
      </c>
      <c r="AZ25" s="251">
        <f t="shared" si="87"/>
        <v>0.41955379019466243</v>
      </c>
      <c r="BA25" s="251">
        <f t="shared" si="87"/>
        <v>0.43593152102910293</v>
      </c>
      <c r="BB25" s="251">
        <f t="shared" si="87"/>
        <v>0.47980223786300752</v>
      </c>
      <c r="BC25" s="251">
        <f t="shared" si="87"/>
        <v>0.46090769895902955</v>
      </c>
      <c r="BD25" s="251">
        <f t="shared" si="87"/>
        <v>0.38835178265863662</v>
      </c>
      <c r="BE25" s="251">
        <f t="shared" si="87"/>
        <v>0.37107755980809159</v>
      </c>
      <c r="BF25" s="251">
        <f t="shared" si="87"/>
        <v>0.34169845751681688</v>
      </c>
      <c r="BG25" s="251">
        <f t="shared" si="87"/>
        <v>0.25201465916040838</v>
      </c>
      <c r="BH25" s="251">
        <f t="shared" si="87"/>
        <v>0.14089082383893248</v>
      </c>
      <c r="BI25" s="251">
        <f t="shared" si="87"/>
        <v>0.21998161345413844</v>
      </c>
      <c r="BJ25" s="251">
        <f t="shared" si="87"/>
        <v>0.24314369197179697</v>
      </c>
      <c r="BK25" s="251">
        <f t="shared" si="87"/>
        <v>0.26298779314582515</v>
      </c>
      <c r="BL25" s="251">
        <f t="shared" si="87"/>
        <v>0.31017396690540439</v>
      </c>
      <c r="BM25" s="251">
        <f t="shared" si="87"/>
        <v>0.3021010519528266</v>
      </c>
      <c r="BN25" s="251">
        <f t="shared" si="87"/>
        <v>0.30151385524514301</v>
      </c>
      <c r="BO25" s="251">
        <f t="shared" si="87"/>
        <v>0.30947902556796236</v>
      </c>
      <c r="BP25" s="251">
        <f>-BP24/BP23</f>
        <v>0.31042263936758102</v>
      </c>
      <c r="BQ25" s="251">
        <f t="shared" ref="BQ25:BV25" si="88">-BQ24/BQ23</f>
        <v>0.29678697165462814</v>
      </c>
      <c r="BR25" s="251">
        <f t="shared" si="88"/>
        <v>0.29756253331212251</v>
      </c>
      <c r="BS25" s="251">
        <f t="shared" si="88"/>
        <v>0.31008601562938648</v>
      </c>
      <c r="BT25" s="251">
        <f t="shared" si="88"/>
        <v>0.31467326367123699</v>
      </c>
      <c r="BU25" s="251">
        <f t="shared" si="88"/>
        <v>0.32528295150072889</v>
      </c>
      <c r="BV25" s="251">
        <f t="shared" si="88"/>
        <v>0.31921700734072828</v>
      </c>
      <c r="BW25" s="251">
        <f>-BW24/BW23</f>
        <v>0.32493403145312533</v>
      </c>
      <c r="BX25" s="251">
        <f>-BX24/BX23</f>
        <v>0.32139917909087817</v>
      </c>
      <c r="BY25" s="251">
        <f>-BY24/BY23</f>
        <v>0.28762882867132056</v>
      </c>
      <c r="BZ25" s="251">
        <f>-BZ24/BZ23</f>
        <v>0.31000000000000005</v>
      </c>
      <c r="CA25" s="286">
        <v>0.315</v>
      </c>
      <c r="CB25" s="286">
        <v>0.315</v>
      </c>
      <c r="CC25" s="286">
        <v>0.315</v>
      </c>
      <c r="CD25" s="286">
        <v>0.315</v>
      </c>
    </row>
    <row r="26" spans="1:82" ht="13.5" customHeight="1">
      <c r="A26" s="260" t="s">
        <v>70</v>
      </c>
      <c r="B26" s="250">
        <v>0</v>
      </c>
      <c r="C26" s="250">
        <v>0</v>
      </c>
      <c r="D26" s="250">
        <v>0</v>
      </c>
      <c r="E26" s="250">
        <v>4.3529999999999998</v>
      </c>
      <c r="F26" s="250">
        <v>10.31799900000007</v>
      </c>
      <c r="G26" s="245">
        <v>-5.258</v>
      </c>
      <c r="H26" s="245">
        <v>1.2190000000000001</v>
      </c>
      <c r="I26" s="245">
        <v>23.853999999999999</v>
      </c>
      <c r="J26" s="245">
        <v>3.3519999999999999</v>
      </c>
      <c r="K26" s="250">
        <v>1.3</v>
      </c>
      <c r="L26" s="250">
        <v>1.4910000000000001</v>
      </c>
      <c r="M26" s="250">
        <v>0</v>
      </c>
      <c r="N26" s="250">
        <v>-4.2089999999999996</v>
      </c>
      <c r="O26" s="250">
        <v>0</v>
      </c>
      <c r="P26" s="250">
        <v>-2.403</v>
      </c>
      <c r="Q26" s="250">
        <v>0</v>
      </c>
      <c r="R26" s="250">
        <v>8.125</v>
      </c>
      <c r="S26" s="250">
        <v>69.897000000000006</v>
      </c>
      <c r="T26" s="250">
        <v>35.682000000000002</v>
      </c>
      <c r="U26" s="250">
        <v>30.879000000000001</v>
      </c>
      <c r="V26" s="250">
        <v>18.643999999999998</v>
      </c>
      <c r="W26" s="250">
        <v>6.1459999999999999</v>
      </c>
      <c r="X26" s="250">
        <v>4.7859999999999996</v>
      </c>
      <c r="Y26" s="250">
        <v>4.5540000000000003</v>
      </c>
      <c r="Z26" s="250">
        <v>1.7000000000000001E-2</v>
      </c>
      <c r="AA26" s="250">
        <v>-0.81</v>
      </c>
      <c r="AB26" s="250">
        <v>0.42399999999999999</v>
      </c>
      <c r="AC26" s="250">
        <v>-1.2170000000000001</v>
      </c>
      <c r="AD26" s="250">
        <v>1.7000000000000001E-2</v>
      </c>
      <c r="AE26" s="250">
        <v>1.7000000000000001E-2</v>
      </c>
      <c r="AF26" s="250">
        <v>1.7000000000000001E-2</v>
      </c>
      <c r="AG26" s="250">
        <v>1.7000000000000001E-2</v>
      </c>
      <c r="AH26" s="250">
        <v>0</v>
      </c>
      <c r="AI26" s="250">
        <v>0</v>
      </c>
      <c r="AJ26" s="250">
        <v>0</v>
      </c>
      <c r="AK26" s="250">
        <v>0</v>
      </c>
      <c r="AL26" s="250">
        <v>0</v>
      </c>
      <c r="AM26" s="250">
        <v>0</v>
      </c>
      <c r="AN26" s="250">
        <v>0</v>
      </c>
      <c r="AO26" s="250">
        <v>0</v>
      </c>
      <c r="AP26" s="287">
        <v>0</v>
      </c>
      <c r="AQ26" s="287">
        <v>0</v>
      </c>
      <c r="AR26" s="287">
        <v>0</v>
      </c>
      <c r="AS26" s="287">
        <v>0</v>
      </c>
      <c r="AT26" s="332"/>
      <c r="AU26" s="287">
        <v>0</v>
      </c>
      <c r="AV26" s="160"/>
      <c r="AW26" s="250">
        <v>0</v>
      </c>
      <c r="AX26" s="250">
        <v>0</v>
      </c>
      <c r="AY26" s="250">
        <v>0</v>
      </c>
      <c r="AZ26" s="250">
        <v>0</v>
      </c>
      <c r="BA26" s="250">
        <v>0</v>
      </c>
      <c r="BB26" s="250">
        <v>0</v>
      </c>
      <c r="BC26" s="250">
        <v>0</v>
      </c>
      <c r="BD26" s="250">
        <v>0</v>
      </c>
      <c r="BE26" s="250">
        <v>0</v>
      </c>
      <c r="BF26" s="250">
        <v>0</v>
      </c>
      <c r="BG26" s="250">
        <v>0</v>
      </c>
      <c r="BH26" s="250">
        <v>0</v>
      </c>
      <c r="BI26" s="250">
        <v>0</v>
      </c>
      <c r="BJ26" s="250">
        <v>0</v>
      </c>
      <c r="BK26" s="250">
        <v>0</v>
      </c>
      <c r="BL26" s="250">
        <v>0</v>
      </c>
      <c r="BM26" s="250">
        <v>0</v>
      </c>
      <c r="BN26" s="250">
        <v>0</v>
      </c>
      <c r="BO26" s="250">
        <v>0</v>
      </c>
      <c r="BP26" s="250">
        <v>4.3529999999999998</v>
      </c>
      <c r="BQ26" s="250">
        <f t="shared" ref="BQ26:BV26" si="89">+SUMIFS($B26:$AK26,$B$1:$AK$1,"="&amp;BQ$1)</f>
        <v>30.132999000000069</v>
      </c>
      <c r="BR26" s="250">
        <f t="shared" si="89"/>
        <v>6.1430000000000007</v>
      </c>
      <c r="BS26" s="250">
        <f t="shared" si="89"/>
        <v>-6.6120000000000001</v>
      </c>
      <c r="BT26" s="250">
        <f t="shared" si="89"/>
        <v>144.583</v>
      </c>
      <c r="BU26" s="250">
        <f t="shared" si="89"/>
        <v>34.130000000000003</v>
      </c>
      <c r="BV26" s="250">
        <f t="shared" si="89"/>
        <v>-1.5860000000000001</v>
      </c>
      <c r="BW26" s="250">
        <f>+SUMIFS($B26:$AK26,$B$1:$AK$1,"="&amp;BW$1)</f>
        <v>6.8000000000000005E-2</v>
      </c>
      <c r="BX26" s="250">
        <f>+SUMIFS($B26:$AO26,$B$1:$AO$1,"="&amp;BX$1)</f>
        <v>0</v>
      </c>
      <c r="BY26" s="250">
        <f>+SUMIFS($B26:$AS26,$B$1:$AS$1,"="&amp;BY$1)</f>
        <v>0</v>
      </c>
      <c r="BZ26" s="250">
        <f>+SUMIFS($B26:$AS26,$B$1:$AS$1,"="&amp;BZ$1)</f>
        <v>0</v>
      </c>
      <c r="CA26" s="287">
        <v>0</v>
      </c>
      <c r="CB26" s="287">
        <v>0</v>
      </c>
      <c r="CC26" s="287">
        <v>0</v>
      </c>
      <c r="CD26" s="287">
        <v>0</v>
      </c>
    </row>
    <row r="27" spans="1:82" ht="13.5" customHeight="1">
      <c r="A27" s="319" t="s">
        <v>11</v>
      </c>
      <c r="B27" s="247">
        <f t="shared" ref="B27:G27" si="90">+B26+B24+B23</f>
        <v>1109.7949999999985</v>
      </c>
      <c r="C27" s="247">
        <f t="shared" si="90"/>
        <v>1178.0549999999989</v>
      </c>
      <c r="D27" s="247">
        <f t="shared" si="90"/>
        <v>1312.8140000000003</v>
      </c>
      <c r="E27" s="247">
        <f t="shared" si="90"/>
        <v>1192.9009999999994</v>
      </c>
      <c r="F27" s="247">
        <f t="shared" si="90"/>
        <v>1094.9179989999998</v>
      </c>
      <c r="G27" s="247">
        <f t="shared" si="90"/>
        <v>1013.3690000000005</v>
      </c>
      <c r="H27" s="247">
        <f t="shared" ref="H27:AH27" si="91">+H26+H24+H23</f>
        <v>854.47300000000041</v>
      </c>
      <c r="I27" s="247">
        <f t="shared" si="91"/>
        <v>1074.5429999999997</v>
      </c>
      <c r="J27" s="247">
        <f t="shared" si="91"/>
        <v>1206.6629999999996</v>
      </c>
      <c r="K27" s="247">
        <f t="shared" si="91"/>
        <v>1094.6119999999996</v>
      </c>
      <c r="L27" s="247">
        <f t="shared" si="91"/>
        <v>907.20099999999979</v>
      </c>
      <c r="M27" s="247">
        <f t="shared" si="91"/>
        <v>1005.7500000000002</v>
      </c>
      <c r="N27" s="247">
        <f t="shared" si="91"/>
        <v>1152.432</v>
      </c>
      <c r="O27" s="247">
        <f t="shared" si="91"/>
        <v>1307.0580000000002</v>
      </c>
      <c r="P27" s="247">
        <f t="shared" si="91"/>
        <v>1233.4289999999996</v>
      </c>
      <c r="Q27" s="247">
        <f t="shared" si="91"/>
        <v>1448.9389999999999</v>
      </c>
      <c r="R27" s="247">
        <f t="shared" si="91"/>
        <v>1527.8709999999996</v>
      </c>
      <c r="S27" s="247">
        <f t="shared" si="91"/>
        <v>1739.1950000000002</v>
      </c>
      <c r="T27" s="247">
        <f t="shared" si="91"/>
        <v>1347.9510000000007</v>
      </c>
      <c r="U27" s="247">
        <f t="shared" si="91"/>
        <v>1610.5510000000004</v>
      </c>
      <c r="V27" s="247">
        <f t="shared" si="91"/>
        <v>1602.1979999999999</v>
      </c>
      <c r="W27" s="247">
        <f t="shared" si="91"/>
        <v>1222.223</v>
      </c>
      <c r="X27" s="247">
        <f t="shared" si="91"/>
        <v>878.96099999999933</v>
      </c>
      <c r="Y27" s="247">
        <f t="shared" si="91"/>
        <v>790.48599999999942</v>
      </c>
      <c r="Z27" s="247">
        <f t="shared" si="91"/>
        <v>1091.2970000000005</v>
      </c>
      <c r="AA27" s="247">
        <f t="shared" si="91"/>
        <v>1175.4169999999995</v>
      </c>
      <c r="AB27" s="247">
        <f t="shared" si="91"/>
        <v>1244.9839999999995</v>
      </c>
      <c r="AC27" s="247">
        <f t="shared" si="91"/>
        <v>1422.5520000000006</v>
      </c>
      <c r="AD27" s="247">
        <f t="shared" si="91"/>
        <v>1612.425</v>
      </c>
      <c r="AE27" s="247">
        <f t="shared" si="91"/>
        <v>1799.3270000000007</v>
      </c>
      <c r="AF27" s="247">
        <f t="shared" si="91"/>
        <v>1670.7869999999994</v>
      </c>
      <c r="AG27" s="247">
        <f t="shared" si="91"/>
        <v>1930.3060000000009</v>
      </c>
      <c r="AH27" s="247">
        <f t="shared" si="91"/>
        <v>2081.5629999999992</v>
      </c>
      <c r="AI27" s="247">
        <f t="shared" ref="AI27:AL27" si="92">+AI26+AI24+AI23</f>
        <v>2133.34</v>
      </c>
      <c r="AJ27" s="247">
        <f t="shared" si="92"/>
        <v>1824.3491000000006</v>
      </c>
      <c r="AK27" s="247">
        <f t="shared" si="92"/>
        <v>1791.511</v>
      </c>
      <c r="AL27" s="247">
        <f t="shared" si="92"/>
        <v>1839.3090000000007</v>
      </c>
      <c r="AM27" s="247">
        <f t="shared" ref="AM27:AN27" si="93">+AM26+AM24+AM23</f>
        <v>1866.1150000000002</v>
      </c>
      <c r="AN27" s="247">
        <f t="shared" si="93"/>
        <v>1677.8510000000006</v>
      </c>
      <c r="AO27" s="247">
        <f t="shared" ref="AO27" si="94">+AO26+AO24+AO23</f>
        <v>2195.3889999999992</v>
      </c>
      <c r="AP27" s="278">
        <f t="shared" ref="AP27:AS27" si="95">+AP26+AP24+AP23</f>
        <v>1974.0804612396773</v>
      </c>
      <c r="AQ27" s="278">
        <f t="shared" si="95"/>
        <v>2141.8250212959697</v>
      </c>
      <c r="AR27" s="278">
        <f t="shared" si="95"/>
        <v>1854.1863664948767</v>
      </c>
      <c r="AS27" s="278">
        <f t="shared" si="95"/>
        <v>2139.9285033014007</v>
      </c>
      <c r="AT27" s="332"/>
      <c r="AU27" s="278">
        <v>1920.6434787342491</v>
      </c>
      <c r="AV27" s="418">
        <f>+AO27/AU27-1</f>
        <v>0.14304868358328227</v>
      </c>
      <c r="AW27" s="247">
        <f t="shared" ref="AW27:BO27" si="96">+AW26+AW24+AW23</f>
        <v>1954.2680000000007</v>
      </c>
      <c r="AX27" s="247">
        <f t="shared" si="96"/>
        <v>1882.8660000000004</v>
      </c>
      <c r="AY27" s="247">
        <f t="shared" si="96"/>
        <v>2568.7869999999994</v>
      </c>
      <c r="AZ27" s="247">
        <f t="shared" si="96"/>
        <v>2816.2599999999993</v>
      </c>
      <c r="BA27" s="247">
        <f t="shared" si="96"/>
        <v>2540.4550000000004</v>
      </c>
      <c r="BB27" s="247">
        <f t="shared" si="96"/>
        <v>1934.9379999999999</v>
      </c>
      <c r="BC27" s="247">
        <f t="shared" si="96"/>
        <v>1860.4140000000034</v>
      </c>
      <c r="BD27" s="247">
        <f t="shared" si="96"/>
        <v>2644.3839999999991</v>
      </c>
      <c r="BE27" s="247">
        <f t="shared" si="96"/>
        <v>2542.5850000000009</v>
      </c>
      <c r="BF27" s="247">
        <f t="shared" si="96"/>
        <v>3390.6420000000021</v>
      </c>
      <c r="BG27" s="247">
        <f t="shared" si="96"/>
        <v>3604.2100000000009</v>
      </c>
      <c r="BH27" s="247">
        <f t="shared" si="96"/>
        <v>5069.2450000000026</v>
      </c>
      <c r="BI27" s="247">
        <f t="shared" si="96"/>
        <v>5276.6129999999976</v>
      </c>
      <c r="BJ27" s="247">
        <f t="shared" si="96"/>
        <v>5251.8070000000007</v>
      </c>
      <c r="BK27" s="247">
        <f t="shared" si="96"/>
        <v>4156.0450000000019</v>
      </c>
      <c r="BL27" s="247">
        <f t="shared" si="96"/>
        <v>4088.3140000000003</v>
      </c>
      <c r="BM27" s="247">
        <f t="shared" si="96"/>
        <v>4597.7149999999983</v>
      </c>
      <c r="BN27" s="247">
        <f t="shared" si="96"/>
        <v>3544.1179999999986</v>
      </c>
      <c r="BO27" s="247">
        <f t="shared" si="96"/>
        <v>4329.050000000002</v>
      </c>
      <c r="BP27" s="247">
        <f t="shared" ref="BP27:CD27" si="97">+BP26+BP24+BP23</f>
        <v>4793.5649999999969</v>
      </c>
      <c r="BQ27" s="247">
        <f t="shared" ref="BQ27:BV27" si="98">+BQ26+BQ24+BQ23</f>
        <v>4066.6889989999936</v>
      </c>
      <c r="BR27" s="247">
        <f t="shared" si="98"/>
        <v>4214.2260000000024</v>
      </c>
      <c r="BS27" s="247">
        <f t="shared" si="98"/>
        <v>5141.858000000002</v>
      </c>
      <c r="BT27" s="247">
        <f t="shared" si="98"/>
        <v>6225.5680000000038</v>
      </c>
      <c r="BU27" s="247">
        <f t="shared" si="98"/>
        <v>4493.8679999999913</v>
      </c>
      <c r="BV27" s="247">
        <f t="shared" si="98"/>
        <v>4934.2500000000064</v>
      </c>
      <c r="BW27" s="247">
        <f t="shared" si="97"/>
        <v>7012.8450000000048</v>
      </c>
      <c r="BX27" s="247">
        <f>+BX26+BX24+BX23</f>
        <v>7830.7630999999965</v>
      </c>
      <c r="BY27" s="247">
        <f>+BY26+BY24+BY23</f>
        <v>7578.663999999997</v>
      </c>
      <c r="BZ27" s="247">
        <f>+BZ26+BZ24+BZ23</f>
        <v>8110.0203523319233</v>
      </c>
      <c r="CA27" s="278">
        <f t="shared" si="97"/>
        <v>8123.1670267022782</v>
      </c>
      <c r="CB27" s="278">
        <f t="shared" si="97"/>
        <v>8152.9700020925811</v>
      </c>
      <c r="CC27" s="278">
        <f t="shared" si="97"/>
        <v>8178.6377071106981</v>
      </c>
      <c r="CD27" s="278">
        <f t="shared" si="97"/>
        <v>8261.5190713945194</v>
      </c>
    </row>
    <row r="28" spans="1:82" ht="13.5" customHeight="1">
      <c r="A28" s="260" t="s">
        <v>71</v>
      </c>
      <c r="B28" s="246">
        <f t="shared" ref="B28:P28" si="99">+B27/B3</f>
        <v>0.127148796268513</v>
      </c>
      <c r="C28" s="246">
        <f t="shared" si="99"/>
        <v>0.13339462254537884</v>
      </c>
      <c r="D28" s="246">
        <f t="shared" si="99"/>
        <v>0.15056143977772932</v>
      </c>
      <c r="E28" s="246">
        <f t="shared" si="99"/>
        <v>0.12715911280983341</v>
      </c>
      <c r="F28" s="246">
        <f t="shared" si="99"/>
        <v>0.11488558626675512</v>
      </c>
      <c r="G28" s="246">
        <f t="shared" si="99"/>
        <v>0.10549438080014328</v>
      </c>
      <c r="H28" s="246">
        <f t="shared" si="99"/>
        <v>9.2905179684512576E-2</v>
      </c>
      <c r="I28" s="246">
        <f t="shared" si="99"/>
        <v>0.11392419154698299</v>
      </c>
      <c r="J28" s="246">
        <f t="shared" si="99"/>
        <v>0.11821608254355276</v>
      </c>
      <c r="K28" s="246">
        <f t="shared" si="99"/>
        <v>0.10337648100343404</v>
      </c>
      <c r="L28" s="246">
        <f t="shared" si="99"/>
        <v>9.1664241689400808E-2</v>
      </c>
      <c r="M28" s="246">
        <f t="shared" si="99"/>
        <v>9.7324366169924542E-2</v>
      </c>
      <c r="N28" s="246">
        <f t="shared" si="99"/>
        <v>0.1046333757036499</v>
      </c>
      <c r="O28" s="246">
        <f t="shared" si="99"/>
        <v>0.11581306244262216</v>
      </c>
      <c r="P28" s="246">
        <f t="shared" si="99"/>
        <v>0.11859894230769227</v>
      </c>
      <c r="Q28" s="246">
        <f t="shared" ref="Q28:AI28" si="100">+Q27/Q3</f>
        <v>0.13414859735209703</v>
      </c>
      <c r="R28" s="246">
        <f t="shared" si="100"/>
        <v>0.13067395651713554</v>
      </c>
      <c r="S28" s="246">
        <f t="shared" si="100"/>
        <v>0.1409709401415663</v>
      </c>
      <c r="T28" s="246">
        <f t="shared" si="100"/>
        <v>0.12146855413553739</v>
      </c>
      <c r="U28" s="246">
        <f t="shared" si="100"/>
        <v>0.13912510228891342</v>
      </c>
      <c r="V28" s="246">
        <f t="shared" si="100"/>
        <v>0.13231487146851934</v>
      </c>
      <c r="W28" s="246">
        <f t="shared" si="100"/>
        <v>0.10426550674966119</v>
      </c>
      <c r="X28" s="246">
        <f t="shared" si="100"/>
        <v>7.7485941275568571E-2</v>
      </c>
      <c r="Y28" s="246">
        <f t="shared" si="100"/>
        <v>6.7451777737805599E-2</v>
      </c>
      <c r="Z28" s="246">
        <f t="shared" si="100"/>
        <v>8.6789963416573926E-2</v>
      </c>
      <c r="AA28" s="246">
        <f t="shared" si="100"/>
        <v>9.1154051453600657E-2</v>
      </c>
      <c r="AB28" s="246">
        <f t="shared" si="100"/>
        <v>9.7309989057370608E-2</v>
      </c>
      <c r="AC28" s="246">
        <f t="shared" si="100"/>
        <v>0.11120607471758798</v>
      </c>
      <c r="AD28" s="246">
        <f t="shared" si="100"/>
        <v>0.11900693778138607</v>
      </c>
      <c r="AE28" s="246">
        <f t="shared" si="100"/>
        <v>0.13120297166297512</v>
      </c>
      <c r="AF28" s="246">
        <f t="shared" si="100"/>
        <v>0.13184290560414827</v>
      </c>
      <c r="AG28" s="246">
        <f t="shared" si="100"/>
        <v>0.14436055160322134</v>
      </c>
      <c r="AH28" s="246">
        <f t="shared" si="100"/>
        <v>0.15095191099770494</v>
      </c>
      <c r="AI28" s="246">
        <f t="shared" si="100"/>
        <v>0.15164486778504407</v>
      </c>
      <c r="AJ28" s="246">
        <f t="shared" ref="AJ28:AN28" si="101">+AJ27/AJ3</f>
        <v>0.138684878851836</v>
      </c>
      <c r="AK28" s="246">
        <f t="shared" si="101"/>
        <v>0.13009770738964962</v>
      </c>
      <c r="AL28" s="246">
        <f t="shared" si="101"/>
        <v>0.13296530036868362</v>
      </c>
      <c r="AM28" s="246">
        <f t="shared" ref="AM28" si="102">+AM27/AM3</f>
        <v>0.13263077469793888</v>
      </c>
      <c r="AN28" s="246">
        <f t="shared" si="101"/>
        <v>0.12511938851603285</v>
      </c>
      <c r="AO28" s="246">
        <f t="shared" ref="AO28" si="103">+AO27/AO3</f>
        <v>0.15616733534040966</v>
      </c>
      <c r="AP28" s="277">
        <f t="shared" ref="AP28:AS28" si="104">+AP27/AP3</f>
        <v>0.13990985333733608</v>
      </c>
      <c r="AQ28" s="277">
        <f t="shared" si="104"/>
        <v>0.14851353138807497</v>
      </c>
      <c r="AR28" s="277">
        <f t="shared" si="104"/>
        <v>0.13489651817863457</v>
      </c>
      <c r="AS28" s="277">
        <f t="shared" si="104"/>
        <v>0.1485094584124742</v>
      </c>
      <c r="AT28" s="161"/>
      <c r="AU28" s="277">
        <v>0.13741396719828491</v>
      </c>
      <c r="AV28" s="161"/>
      <c r="AW28" s="246">
        <f t="shared" ref="AW28:BV28" si="105">+AW27/AW3</f>
        <v>0.18963395670747837</v>
      </c>
      <c r="AX28" s="246">
        <f t="shared" si="105"/>
        <v>0.15320650761457175</v>
      </c>
      <c r="AY28" s="246">
        <f t="shared" si="105"/>
        <v>0.185228286654194</v>
      </c>
      <c r="AZ28" s="246">
        <f t="shared" si="105"/>
        <v>0.17705229362769914</v>
      </c>
      <c r="BA28" s="246">
        <f t="shared" si="105"/>
        <v>0.1624959902980404</v>
      </c>
      <c r="BB28" s="246">
        <f t="shared" si="105"/>
        <v>0.12021205215692803</v>
      </c>
      <c r="BC28" s="246">
        <f t="shared" si="105"/>
        <v>0.10879506512479516</v>
      </c>
      <c r="BD28" s="246">
        <f t="shared" si="105"/>
        <v>0.13356210688174783</v>
      </c>
      <c r="BE28" s="246">
        <f t="shared" si="105"/>
        <v>0.11566082039150599</v>
      </c>
      <c r="BF28" s="246">
        <f t="shared" si="105"/>
        <v>0.16881907575165539</v>
      </c>
      <c r="BG28" s="246">
        <f t="shared" si="105"/>
        <v>0.16779194154923743</v>
      </c>
      <c r="BH28" s="246">
        <f t="shared" si="105"/>
        <v>0.2199093404765205</v>
      </c>
      <c r="BI28" s="246">
        <f t="shared" si="105"/>
        <v>0.21360897024302314</v>
      </c>
      <c r="BJ28" s="246">
        <f t="shared" si="105"/>
        <v>0.20047728478734142</v>
      </c>
      <c r="BK28" s="246">
        <f t="shared" si="105"/>
        <v>0.15546855661913872</v>
      </c>
      <c r="BL28" s="246">
        <f t="shared" si="105"/>
        <v>0.13958708749259868</v>
      </c>
      <c r="BM28" s="246">
        <f t="shared" si="105"/>
        <v>0.1549225009262904</v>
      </c>
      <c r="BN28" s="246">
        <f t="shared" si="105"/>
        <v>0.12176232174601626</v>
      </c>
      <c r="BO28" s="246">
        <f t="shared" si="105"/>
        <v>0.13441652321100325</v>
      </c>
      <c r="BP28" s="246">
        <f t="shared" si="105"/>
        <v>0.13442303267541666</v>
      </c>
      <c r="BQ28" s="246">
        <f t="shared" si="105"/>
        <v>0.1076819054879339</v>
      </c>
      <c r="BR28" s="246">
        <f t="shared" si="105"/>
        <v>0.10271869670565126</v>
      </c>
      <c r="BS28" s="246">
        <f t="shared" si="105"/>
        <v>0.11820110784300725</v>
      </c>
      <c r="BT28" s="246">
        <f t="shared" si="105"/>
        <v>0.13330154372657205</v>
      </c>
      <c r="BU28" s="246">
        <f t="shared" si="105"/>
        <v>9.5830416380035782E-2</v>
      </c>
      <c r="BV28" s="246">
        <f t="shared" si="105"/>
        <v>9.6646008894429716E-2</v>
      </c>
      <c r="BW28" s="246">
        <f t="shared" ref="BW28:CD28" si="106">+BW27/BW3</f>
        <v>0.13155566616005462</v>
      </c>
      <c r="BX28" s="246">
        <f t="shared" si="106"/>
        <v>0.14294221843724905</v>
      </c>
      <c r="BY28" s="246">
        <f t="shared" si="106"/>
        <v>0.13687081670133494</v>
      </c>
      <c r="BZ28" s="246">
        <f t="shared" si="106"/>
        <v>0.14306910559708103</v>
      </c>
      <c r="CA28" s="277">
        <f t="shared" si="106"/>
        <v>0.14049120241482788</v>
      </c>
      <c r="CB28" s="277">
        <f t="shared" si="106"/>
        <v>0.13824181240033573</v>
      </c>
      <c r="CC28" s="277">
        <f t="shared" si="106"/>
        <v>0.13595787664080602</v>
      </c>
      <c r="CD28" s="277">
        <f t="shared" si="106"/>
        <v>0.13464280192777908</v>
      </c>
    </row>
    <row r="29" spans="1:82" ht="13.5" customHeight="1">
      <c r="B29" s="248"/>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77"/>
      <c r="AQ29" s="277"/>
      <c r="AR29" s="277"/>
      <c r="AS29" s="277"/>
      <c r="AU29" s="277"/>
      <c r="AW29" s="248"/>
      <c r="AX29" s="248"/>
      <c r="AY29" s="248"/>
      <c r="AZ29" s="248"/>
      <c r="BA29" s="248"/>
      <c r="BB29" s="248"/>
      <c r="BC29" s="248"/>
      <c r="BD29" s="248"/>
      <c r="BE29" s="248"/>
      <c r="BF29" s="248"/>
      <c r="BG29" s="248"/>
      <c r="BH29" s="248"/>
      <c r="BI29" s="248"/>
      <c r="BJ29" s="248"/>
      <c r="BK29" s="248"/>
      <c r="BL29" s="248"/>
      <c r="BM29" s="248"/>
      <c r="BN29" s="248"/>
      <c r="BO29" s="248"/>
      <c r="BP29" s="248"/>
      <c r="BQ29" s="248"/>
      <c r="BR29" s="248"/>
      <c r="BS29" s="248"/>
      <c r="BT29" s="248"/>
      <c r="BU29" s="248"/>
      <c r="BV29" s="248"/>
      <c r="BW29" s="248"/>
      <c r="BX29" s="248"/>
      <c r="BY29" s="248"/>
      <c r="BZ29" s="248"/>
      <c r="CA29" s="277"/>
      <c r="CB29" s="277"/>
      <c r="CC29" s="277"/>
      <c r="CD29" s="277"/>
    </row>
    <row r="30" spans="1:82" ht="13.5" customHeight="1">
      <c r="A30" s="319" t="s">
        <v>72</v>
      </c>
      <c r="B30" s="252">
        <v>3091.6730769230771</v>
      </c>
      <c r="C30" s="252">
        <v>3088.444</v>
      </c>
      <c r="D30" s="252">
        <v>3088.0540000000001</v>
      </c>
      <c r="E30" s="252">
        <v>3087.9740000000002</v>
      </c>
      <c r="F30" s="252">
        <v>3084.9319999999998</v>
      </c>
      <c r="G30" s="252">
        <v>3084.9319999999998</v>
      </c>
      <c r="H30" s="252">
        <v>3084.9319999999998</v>
      </c>
      <c r="I30" s="252">
        <v>3084.9319999999998</v>
      </c>
      <c r="J30" s="252">
        <v>3084.9319999999998</v>
      </c>
      <c r="K30" s="252">
        <v>3084.9319999999998</v>
      </c>
      <c r="L30" s="252">
        <v>3084.9319999999998</v>
      </c>
      <c r="M30" s="252">
        <v>3084.9319999999998</v>
      </c>
      <c r="N30" s="252">
        <v>3084.9319999999998</v>
      </c>
      <c r="O30" s="252">
        <v>3084.9319999999998</v>
      </c>
      <c r="P30" s="252">
        <v>3084.9319999999998</v>
      </c>
      <c r="Q30" s="252">
        <v>3084.9319999999998</v>
      </c>
      <c r="R30" s="252">
        <v>3084.9319999999998</v>
      </c>
      <c r="S30" s="252">
        <v>3084.9319999999998</v>
      </c>
      <c r="T30" s="252">
        <v>3084.9319999999998</v>
      </c>
      <c r="U30" s="252">
        <v>3084.9319999999998</v>
      </c>
      <c r="V30" s="252">
        <v>3084.9319999999998</v>
      </c>
      <c r="W30" s="252">
        <v>3084.9319999999998</v>
      </c>
      <c r="X30" s="252">
        <v>3084.9319999999998</v>
      </c>
      <c r="Y30" s="252">
        <v>3084.9319999999998</v>
      </c>
      <c r="Z30" s="252">
        <v>3084.9319999999998</v>
      </c>
      <c r="AA30" s="252">
        <v>3084.9319999999998</v>
      </c>
      <c r="AB30" s="252">
        <v>3084.9319999999998</v>
      </c>
      <c r="AC30" s="252">
        <v>3075.1325980000001</v>
      </c>
      <c r="AD30" s="252">
        <v>3075.1325980000001</v>
      </c>
      <c r="AE30" s="252">
        <v>3075.1325980000001</v>
      </c>
      <c r="AF30" s="252">
        <v>3075.1325980000001</v>
      </c>
      <c r="AG30" s="252">
        <v>3075.1325980000001</v>
      </c>
      <c r="AH30" s="252">
        <v>3075.1325980000001</v>
      </c>
      <c r="AI30" s="252">
        <v>3075.1325980000001</v>
      </c>
      <c r="AJ30" s="252">
        <v>3056.7271110000001</v>
      </c>
      <c r="AK30" s="252">
        <f>3043.57741</f>
        <v>3043.5774099999999</v>
      </c>
      <c r="AL30" s="252">
        <v>3038.0788769999999</v>
      </c>
      <c r="AM30" s="252">
        <v>3026.3839929999999</v>
      </c>
      <c r="AN30" s="252">
        <v>3010.7094339999999</v>
      </c>
      <c r="AO30" s="252">
        <v>3000.848669</v>
      </c>
      <c r="AP30" s="356">
        <f t="shared" ref="AP30:AS30" si="107">+AO30+AP111</f>
        <v>2984.7196367419356</v>
      </c>
      <c r="AQ30" s="356">
        <f t="shared" si="107"/>
        <v>2968.5906044838712</v>
      </c>
      <c r="AR30" s="356">
        <f t="shared" si="107"/>
        <v>2952.4615722258068</v>
      </c>
      <c r="AS30" s="356">
        <f t="shared" si="107"/>
        <v>2936.3325399677424</v>
      </c>
      <c r="AU30" s="285">
        <v>2994.5804017419355</v>
      </c>
      <c r="AW30" s="252">
        <v>1127.635</v>
      </c>
      <c r="AX30" s="252">
        <v>1171.7670000000001</v>
      </c>
      <c r="AY30" s="252">
        <v>1189.518</v>
      </c>
      <c r="AZ30" s="252">
        <v>1257.5050000000001</v>
      </c>
      <c r="BA30" s="252">
        <v>1231.1869999999999</v>
      </c>
      <c r="BB30" s="252">
        <v>1204.0170000000001</v>
      </c>
      <c r="BC30" s="252">
        <v>1187.222</v>
      </c>
      <c r="BD30" s="252">
        <v>1169.5830000000001</v>
      </c>
      <c r="BE30" s="252">
        <v>1157.0039999999999</v>
      </c>
      <c r="BF30" s="252">
        <v>1139.845</v>
      </c>
      <c r="BG30" s="252">
        <v>1118.155</v>
      </c>
      <c r="BH30" s="252">
        <v>1098.846</v>
      </c>
      <c r="BI30" s="252">
        <v>1076.998</v>
      </c>
      <c r="BJ30" s="252">
        <v>1061.674</v>
      </c>
      <c r="BK30" s="252">
        <v>3154.6461450000002</v>
      </c>
      <c r="BL30" s="252">
        <v>3141.2595249999999</v>
      </c>
      <c r="BM30" s="252">
        <v>3127.3494759999999</v>
      </c>
      <c r="BN30" s="252">
        <v>3099.090878</v>
      </c>
      <c r="BO30" s="252">
        <v>3095.5283979999999</v>
      </c>
      <c r="BP30" s="252">
        <f t="shared" ref="BP30:BU30" si="108">+SUMIFS($B30:$AK30,$B$2:$AK$2,"="&amp;BP$2)</f>
        <v>3087.9740000000002</v>
      </c>
      <c r="BQ30" s="252">
        <f t="shared" si="108"/>
        <v>3084.9319999999998</v>
      </c>
      <c r="BR30" s="252">
        <f t="shared" si="108"/>
        <v>3084.9319999999998</v>
      </c>
      <c r="BS30" s="252">
        <f t="shared" si="108"/>
        <v>3084.9319999999998</v>
      </c>
      <c r="BT30" s="252">
        <f t="shared" si="108"/>
        <v>3084.9319999999998</v>
      </c>
      <c r="BU30" s="252">
        <f t="shared" si="108"/>
        <v>3084.9319999999998</v>
      </c>
      <c r="BV30" s="252">
        <f>+SUMIFS($B30:$AK30,$B$2:$AK$2,"="&amp;BV$2)</f>
        <v>3075.1325980000001</v>
      </c>
      <c r="BW30" s="252">
        <f>+SUMIFS($B30:$AK30,$B$2:$AK$2,"="&amp;BW$2)</f>
        <v>3075.1325980000001</v>
      </c>
      <c r="BX30" s="252">
        <f>+SUMIFS($B30:$AO30,$B$2:$AO$2,"="&amp;BX$2)</f>
        <v>3043.5774099999999</v>
      </c>
      <c r="BY30" s="252">
        <f>+SUMIFS($B30:$AS30,$B$2:$AS$2,"="&amp;BY$2)</f>
        <v>3000.848669</v>
      </c>
      <c r="BZ30" s="252">
        <f>+SUMIFS($B30:$AS30,$B$2:$AS$2,"="&amp;BZ$2)</f>
        <v>2936.3325399677424</v>
      </c>
      <c r="CA30" s="356">
        <f>+BZ30+CA111</f>
        <v>2936.3325399677424</v>
      </c>
      <c r="CB30" s="356">
        <f>+CA30+CB111</f>
        <v>2936.3325399677424</v>
      </c>
      <c r="CC30" s="356">
        <f>+CB30+CC111</f>
        <v>2936.3325399677424</v>
      </c>
      <c r="CD30" s="356">
        <f>+CC30+CD111</f>
        <v>2936.3325399677424</v>
      </c>
    </row>
    <row r="31" spans="1:82" s="253" customFormat="1" ht="13.5" customHeight="1">
      <c r="A31" s="253" t="s">
        <v>73</v>
      </c>
      <c r="B31" s="253">
        <f t="shared" ref="B31:G31" si="109">B27/B30</f>
        <v>0.35896259804561831</v>
      </c>
      <c r="C31" s="253">
        <f t="shared" si="109"/>
        <v>0.38143965051657047</v>
      </c>
      <c r="D31" s="253">
        <f t="shared" si="109"/>
        <v>0.42512663314825461</v>
      </c>
      <c r="E31" s="253">
        <f t="shared" si="109"/>
        <v>0.38630538987698709</v>
      </c>
      <c r="F31" s="253">
        <f t="shared" si="109"/>
        <v>0.35492451665061009</v>
      </c>
      <c r="G31" s="253">
        <f t="shared" si="109"/>
        <v>0.3284898986428228</v>
      </c>
      <c r="H31" s="253">
        <f t="shared" ref="H31:AK31" si="110">H27/H30</f>
        <v>0.27698276655692911</v>
      </c>
      <c r="I31" s="253">
        <f t="shared" si="110"/>
        <v>0.348319833305888</v>
      </c>
      <c r="J31" s="253">
        <f t="shared" si="110"/>
        <v>0.39114735754305108</v>
      </c>
      <c r="K31" s="253">
        <f t="shared" si="110"/>
        <v>0.35482532516113796</v>
      </c>
      <c r="L31" s="253">
        <f t="shared" si="110"/>
        <v>0.29407487750135169</v>
      </c>
      <c r="M31" s="253">
        <f t="shared" si="110"/>
        <v>0.32602015214597935</v>
      </c>
      <c r="N31" s="253">
        <f t="shared" si="110"/>
        <v>0.3735680397493365</v>
      </c>
      <c r="O31" s="253">
        <f t="shared" si="110"/>
        <v>0.42369102463198549</v>
      </c>
      <c r="P31" s="253">
        <f t="shared" si="110"/>
        <v>0.39982372382924475</v>
      </c>
      <c r="Q31" s="253">
        <f t="shared" si="110"/>
        <v>0.46968263806138999</v>
      </c>
      <c r="R31" s="253">
        <f t="shared" si="110"/>
        <v>0.49526893947743411</v>
      </c>
      <c r="S31" s="253">
        <f t="shared" si="110"/>
        <v>0.56377093563164449</v>
      </c>
      <c r="T31" s="253">
        <f t="shared" si="110"/>
        <v>0.43694674631401947</v>
      </c>
      <c r="U31" s="253">
        <f t="shared" si="110"/>
        <v>0.52207017853229842</v>
      </c>
      <c r="V31" s="253">
        <f t="shared" si="110"/>
        <v>0.51936250134524842</v>
      </c>
      <c r="W31" s="253">
        <f t="shared" si="110"/>
        <v>0.39619122885042524</v>
      </c>
      <c r="X31" s="253">
        <f t="shared" si="110"/>
        <v>0.28492070489722282</v>
      </c>
      <c r="Y31" s="253">
        <f t="shared" si="110"/>
        <v>0.25624098035224097</v>
      </c>
      <c r="Z31" s="253">
        <f t="shared" si="110"/>
        <v>0.35375074718016492</v>
      </c>
      <c r="AA31" s="253">
        <f t="shared" si="110"/>
        <v>0.38101877124033839</v>
      </c>
      <c r="AB31" s="253">
        <f t="shared" si="110"/>
        <v>0.40356934934060118</v>
      </c>
      <c r="AC31" s="253">
        <f t="shared" si="110"/>
        <v>0.46259858873246562</v>
      </c>
      <c r="AD31" s="253">
        <f t="shared" si="110"/>
        <v>0.52434324329581317</v>
      </c>
      <c r="AE31" s="253">
        <f t="shared" si="110"/>
        <v>0.58512176065846533</v>
      </c>
      <c r="AF31" s="253">
        <f t="shared" si="110"/>
        <v>0.54332193710497012</v>
      </c>
      <c r="AG31" s="253">
        <f t="shared" si="110"/>
        <v>0.62771472074258861</v>
      </c>
      <c r="AH31" s="253">
        <f t="shared" si="110"/>
        <v>0.67690186802149699</v>
      </c>
      <c r="AI31" s="253">
        <f>AI27/AI30</f>
        <v>0.69373919075472656</v>
      </c>
      <c r="AJ31" s="253">
        <f>AJ27/AJ30</f>
        <v>0.59683086966934695</v>
      </c>
      <c r="AK31" s="253">
        <f t="shared" si="110"/>
        <v>0.58862015275635782</v>
      </c>
      <c r="AL31" s="253">
        <f t="shared" ref="AL31:AN31" si="111">AL27/AL30</f>
        <v>0.60541844845590576</v>
      </c>
      <c r="AM31" s="253">
        <f t="shared" si="111"/>
        <v>0.61661540779897994</v>
      </c>
      <c r="AN31" s="253">
        <f t="shared" si="111"/>
        <v>0.55729423140340173</v>
      </c>
      <c r="AO31" s="253">
        <f t="shared" ref="AO31" si="112">AO27/AO30</f>
        <v>0.73158937425911208</v>
      </c>
      <c r="AP31" s="288">
        <f t="shared" ref="AP31:AS31" si="113">AP27/AP30</f>
        <v>0.66139560879980908</v>
      </c>
      <c r="AQ31" s="288">
        <f t="shared" si="113"/>
        <v>0.72149558718567541</v>
      </c>
      <c r="AR31" s="288">
        <f t="shared" si="113"/>
        <v>0.62801371707508435</v>
      </c>
      <c r="AS31" s="288">
        <f t="shared" si="113"/>
        <v>0.72877593875144309</v>
      </c>
      <c r="AU31" s="288">
        <v>0.64137315452175481</v>
      </c>
      <c r="AW31" s="253">
        <f t="shared" ref="AW31:BO31" si="114">AW27/AW30</f>
        <v>1.7330678810075961</v>
      </c>
      <c r="AX31" s="253">
        <f t="shared" si="114"/>
        <v>1.6068604082552251</v>
      </c>
      <c r="AY31" s="253">
        <f t="shared" si="114"/>
        <v>2.1595192338409332</v>
      </c>
      <c r="AZ31" s="253">
        <f t="shared" si="114"/>
        <v>2.2395616717229747</v>
      </c>
      <c r="BA31" s="253">
        <f t="shared" si="114"/>
        <v>2.0634192856162392</v>
      </c>
      <c r="BB31" s="253">
        <f t="shared" si="114"/>
        <v>1.6070686709573037</v>
      </c>
      <c r="BC31" s="253">
        <f t="shared" si="114"/>
        <v>1.5670312713207837</v>
      </c>
      <c r="BD31" s="253">
        <f t="shared" si="114"/>
        <v>2.2609630953938273</v>
      </c>
      <c r="BE31" s="253">
        <f t="shared" si="114"/>
        <v>2.1975593861386833</v>
      </c>
      <c r="BF31" s="253">
        <f t="shared" si="114"/>
        <v>2.9746518166943767</v>
      </c>
      <c r="BG31" s="253">
        <f t="shared" si="114"/>
        <v>3.2233545438691427</v>
      </c>
      <c r="BH31" s="253">
        <f t="shared" si="114"/>
        <v>4.6132442580671018</v>
      </c>
      <c r="BI31" s="253">
        <f t="shared" si="114"/>
        <v>4.8993712151740274</v>
      </c>
      <c r="BJ31" s="253">
        <f t="shared" si="114"/>
        <v>4.9467228169852522</v>
      </c>
      <c r="BK31" s="253">
        <f t="shared" si="114"/>
        <v>1.3174361906127514</v>
      </c>
      <c r="BL31" s="253">
        <f t="shared" si="114"/>
        <v>1.3014887714506811</v>
      </c>
      <c r="BM31" s="253">
        <f t="shared" si="114"/>
        <v>1.4701634835773623</v>
      </c>
      <c r="BN31" s="253">
        <f t="shared" si="114"/>
        <v>1.1435992487858881</v>
      </c>
      <c r="BO31" s="253">
        <f t="shared" si="114"/>
        <v>1.398484989766843</v>
      </c>
      <c r="BP31" s="253">
        <f t="shared" ref="BP31:CD31" si="115">BP27/BP30</f>
        <v>1.5523333421848748</v>
      </c>
      <c r="BQ31" s="253">
        <f t="shared" si="115"/>
        <v>1.3182426708271022</v>
      </c>
      <c r="BR31" s="253">
        <f t="shared" si="115"/>
        <v>1.366067712351521</v>
      </c>
      <c r="BS31" s="253">
        <f t="shared" si="115"/>
        <v>1.6667654262719576</v>
      </c>
      <c r="BT31" s="253">
        <f t="shared" si="115"/>
        <v>2.0180567999553976</v>
      </c>
      <c r="BU31" s="253">
        <f t="shared" si="115"/>
        <v>1.4567154154451352</v>
      </c>
      <c r="BV31" s="253">
        <f t="shared" si="115"/>
        <v>1.604564955413349</v>
      </c>
      <c r="BW31" s="253">
        <f t="shared" si="115"/>
        <v>2.2805016618018383</v>
      </c>
      <c r="BX31" s="253">
        <f>BX27/BX30</f>
        <v>2.5728812003503458</v>
      </c>
      <c r="BY31" s="253">
        <f>BY27/BY30</f>
        <v>2.5255068935300571</v>
      </c>
      <c r="BZ31" s="253">
        <f>BZ27/BZ30</f>
        <v>2.7619556851762495</v>
      </c>
      <c r="CA31" s="288">
        <f t="shared" si="115"/>
        <v>2.7664329281967213</v>
      </c>
      <c r="CB31" s="288">
        <f t="shared" si="115"/>
        <v>2.7765826557853517</v>
      </c>
      <c r="CC31" s="288">
        <f t="shared" si="115"/>
        <v>2.7853240720482382</v>
      </c>
      <c r="CD31" s="288">
        <f t="shared" si="115"/>
        <v>2.813550222579789</v>
      </c>
    </row>
    <row r="32" spans="1:82" ht="13.5" customHeight="1">
      <c r="A32" s="260" t="s">
        <v>74</v>
      </c>
      <c r="B32" s="254">
        <f t="shared" ref="B32:AK32" si="116">-B113/B30</f>
        <v>0</v>
      </c>
      <c r="C32" s="254">
        <f t="shared" si="116"/>
        <v>0.38059683128462102</v>
      </c>
      <c r="D32" s="254">
        <f t="shared" si="116"/>
        <v>-0.3806448980490626</v>
      </c>
      <c r="E32" s="254">
        <f t="shared" si="116"/>
        <v>1.859724531359396</v>
      </c>
      <c r="F32" s="254">
        <f t="shared" si="116"/>
        <v>1.8615583747064766</v>
      </c>
      <c r="G32" s="254">
        <f t="shared" si="116"/>
        <v>0</v>
      </c>
      <c r="H32" s="254">
        <f t="shared" si="116"/>
        <v>0</v>
      </c>
      <c r="I32" s="254">
        <f t="shared" si="116"/>
        <v>0</v>
      </c>
      <c r="J32" s="254">
        <f t="shared" si="116"/>
        <v>0</v>
      </c>
      <c r="K32" s="254">
        <f t="shared" si="116"/>
        <v>0</v>
      </c>
      <c r="L32" s="254">
        <f t="shared" si="116"/>
        <v>0</v>
      </c>
      <c r="M32" s="254">
        <f t="shared" si="116"/>
        <v>0</v>
      </c>
      <c r="N32" s="254">
        <f t="shared" si="116"/>
        <v>0</v>
      </c>
      <c r="O32" s="254">
        <f t="shared" si="116"/>
        <v>0</v>
      </c>
      <c r="P32" s="254">
        <f t="shared" si="116"/>
        <v>0</v>
      </c>
      <c r="Q32" s="254">
        <f t="shared" si="116"/>
        <v>0</v>
      </c>
      <c r="R32" s="254">
        <f t="shared" si="116"/>
        <v>0</v>
      </c>
      <c r="S32" s="254">
        <f t="shared" si="116"/>
        <v>0</v>
      </c>
      <c r="T32" s="254">
        <f t="shared" si="116"/>
        <v>0</v>
      </c>
      <c r="U32" s="254">
        <f t="shared" si="116"/>
        <v>0</v>
      </c>
      <c r="V32" s="254">
        <f t="shared" si="116"/>
        <v>0.43</v>
      </c>
      <c r="W32" s="254">
        <f t="shared" si="116"/>
        <v>0.43</v>
      </c>
      <c r="X32" s="254">
        <f t="shared" si="116"/>
        <v>0.43</v>
      </c>
      <c r="Y32" s="254">
        <f t="shared" si="116"/>
        <v>0.43</v>
      </c>
      <c r="Z32" s="254">
        <f t="shared" si="116"/>
        <v>0.41</v>
      </c>
      <c r="AA32" s="254">
        <f t="shared" si="116"/>
        <v>0.40702903013745523</v>
      </c>
      <c r="AB32" s="254">
        <f t="shared" si="116"/>
        <v>0</v>
      </c>
      <c r="AC32" s="254">
        <f t="shared" si="116"/>
        <v>0.82036722632407266</v>
      </c>
      <c r="AD32" s="254">
        <f t="shared" si="116"/>
        <v>0</v>
      </c>
      <c r="AE32" s="254">
        <f t="shared" si="116"/>
        <v>0.40481864125457134</v>
      </c>
      <c r="AF32" s="254">
        <f t="shared" si="116"/>
        <v>0.40481864125457134</v>
      </c>
      <c r="AG32" s="254">
        <f t="shared" si="116"/>
        <v>0.81036277968004544</v>
      </c>
      <c r="AH32" s="254">
        <f t="shared" si="116"/>
        <v>0</v>
      </c>
      <c r="AI32" s="254">
        <f t="shared" si="116"/>
        <v>0.46479166489587581</v>
      </c>
      <c r="AJ32" s="254">
        <f t="shared" si="116"/>
        <v>0.46759064453496768</v>
      </c>
      <c r="AK32" s="254">
        <f t="shared" si="116"/>
        <v>0.94006283217879472</v>
      </c>
      <c r="AL32" s="254">
        <f t="shared" ref="AL32:AN32" si="117">-AL113/AL30</f>
        <v>0</v>
      </c>
      <c r="AM32" s="254">
        <f t="shared" si="117"/>
        <v>0.51266528093878927</v>
      </c>
      <c r="AN32" s="254">
        <f t="shared" si="117"/>
        <v>0.51533435358411939</v>
      </c>
      <c r="AO32" s="254">
        <f t="shared" ref="AO32" si="118">-AO113/AO30</f>
        <v>1.0349918781592515</v>
      </c>
      <c r="AP32" s="289">
        <f t="shared" ref="AP32:AS32" si="119">-AP113/AP30</f>
        <v>0</v>
      </c>
      <c r="AQ32" s="289">
        <f t="shared" si="119"/>
        <v>0.569684138138014</v>
      </c>
      <c r="AR32" s="289">
        <f t="shared" si="119"/>
        <v>0.57279627139230349</v>
      </c>
      <c r="AS32" s="289">
        <f t="shared" si="119"/>
        <v>1.1529282919833022</v>
      </c>
      <c r="AU32" s="289">
        <v>1.0414340046391442</v>
      </c>
      <c r="AW32" s="254">
        <f t="shared" ref="AW32:CD32" si="120">-AW113/AW30</f>
        <v>1.1716007396010233</v>
      </c>
      <c r="AX32" s="254">
        <f t="shared" si="120"/>
        <v>1.9499345859714432</v>
      </c>
      <c r="AY32" s="254">
        <f t="shared" si="120"/>
        <v>1.5176138570412554</v>
      </c>
      <c r="AZ32" s="254">
        <f t="shared" si="120"/>
        <v>1.6052922254782285</v>
      </c>
      <c r="BA32" s="254">
        <f t="shared" si="120"/>
        <v>1.7859382855731909</v>
      </c>
      <c r="BB32" s="254">
        <f t="shared" si="120"/>
        <v>1.9381345944450949</v>
      </c>
      <c r="BC32" s="254">
        <f t="shared" si="120"/>
        <v>1.9775576935063537</v>
      </c>
      <c r="BD32" s="254">
        <f t="shared" si="120"/>
        <v>2.0665202897100934</v>
      </c>
      <c r="BE32" s="254">
        <f t="shared" si="120"/>
        <v>2.2515211701947444</v>
      </c>
      <c r="BF32" s="254">
        <f t="shared" si="120"/>
        <v>5.0382122130640568</v>
      </c>
      <c r="BG32" s="254">
        <f t="shared" si="120"/>
        <v>2.7079573046670635</v>
      </c>
      <c r="BH32" s="254">
        <f t="shared" si="120"/>
        <v>2.7745025235565315</v>
      </c>
      <c r="BI32" s="254">
        <f t="shared" si="120"/>
        <v>2.9782952243179652</v>
      </c>
      <c r="BJ32" s="254">
        <f t="shared" si="120"/>
        <v>3.2548616618660717</v>
      </c>
      <c r="BK32" s="254">
        <f t="shared" si="120"/>
        <v>1.1431630789132452</v>
      </c>
      <c r="BL32" s="254">
        <f t="shared" si="120"/>
        <v>1.2046871549080302</v>
      </c>
      <c r="BM32" s="254">
        <f t="shared" si="120"/>
        <v>1.3258057763672844</v>
      </c>
      <c r="BN32" s="254">
        <f t="shared" si="120"/>
        <v>1.4125432819914874</v>
      </c>
      <c r="BO32" s="254">
        <f t="shared" si="120"/>
        <v>1.4805301101295212</v>
      </c>
      <c r="BP32" s="254">
        <f t="shared" si="120"/>
        <v>1.5232961806025569</v>
      </c>
      <c r="BQ32" s="254">
        <f t="shared" si="120"/>
        <v>1.5800001426287518</v>
      </c>
      <c r="BR32" s="254">
        <f t="shared" si="120"/>
        <v>1.5799999999999998</v>
      </c>
      <c r="BS32" s="254">
        <f t="shared" si="120"/>
        <v>1.55</v>
      </c>
      <c r="BT32" s="254">
        <f t="shared" si="120"/>
        <v>1.6</v>
      </c>
      <c r="BU32" s="254">
        <f t="shared" si="120"/>
        <v>1.6</v>
      </c>
      <c r="BV32" s="254">
        <f t="shared" si="120"/>
        <v>1.6</v>
      </c>
      <c r="BW32" s="254">
        <f t="shared" si="120"/>
        <v>1.6</v>
      </c>
      <c r="BX32" s="254">
        <f t="shared" si="120"/>
        <v>1.8792842203412203</v>
      </c>
      <c r="BY32" s="254">
        <f t="shared" si="120"/>
        <v>2.0690473545502206</v>
      </c>
      <c r="BZ32" s="254">
        <f t="shared" ref="BZ32" si="121">-BZ113/BZ30</f>
        <v>2.3048134800407687</v>
      </c>
      <c r="CA32" s="289">
        <f t="shared" si="120"/>
        <v>2.209564548141</v>
      </c>
      <c r="CB32" s="289">
        <f t="shared" si="120"/>
        <v>2.2131463425573772</v>
      </c>
      <c r="CC32" s="289">
        <f t="shared" si="120"/>
        <v>2.2212661246282814</v>
      </c>
      <c r="CD32" s="289">
        <f t="shared" si="120"/>
        <v>2.2282592576385905</v>
      </c>
    </row>
    <row r="33" spans="1:82" ht="13.5" customHeight="1">
      <c r="A33" s="260" t="s">
        <v>75</v>
      </c>
      <c r="B33" s="246"/>
      <c r="C33" s="246">
        <f t="shared" ref="C33:AJ33" si="122">C3/B3-1</f>
        <v>1.1804795815733904E-2</v>
      </c>
      <c r="D33" s="246">
        <f t="shared" si="122"/>
        <v>-1.2670312238679537E-2</v>
      </c>
      <c r="E33" s="246">
        <f t="shared" si="122"/>
        <v>7.5889014648503839E-2</v>
      </c>
      <c r="F33" s="246">
        <f t="shared" si="122"/>
        <v>1.5919126488300739E-2</v>
      </c>
      <c r="G33" s="246">
        <f t="shared" si="122"/>
        <v>7.91112079230194E-3</v>
      </c>
      <c r="H33" s="246">
        <f t="shared" si="122"/>
        <v>-4.2541124443766676E-2</v>
      </c>
      <c r="I33" s="246">
        <f t="shared" si="122"/>
        <v>2.5532498323685315E-2</v>
      </c>
      <c r="J33" s="246">
        <f t="shared" si="122"/>
        <v>8.2185195897239272E-2</v>
      </c>
      <c r="K33" s="246">
        <f t="shared" si="122"/>
        <v>3.7358877489819475E-2</v>
      </c>
      <c r="L33" s="246">
        <f t="shared" si="122"/>
        <v>-6.5315351475237815E-2</v>
      </c>
      <c r="M33" s="246">
        <f t="shared" si="122"/>
        <v>4.4154794382136098E-2</v>
      </c>
      <c r="N33" s="246">
        <f t="shared" si="122"/>
        <v>6.5802206309270472E-2</v>
      </c>
      <c r="O33" s="246">
        <f t="shared" si="122"/>
        <v>2.4689395315053542E-2</v>
      </c>
      <c r="P33" s="246">
        <f t="shared" si="122"/>
        <v>-7.8498544515032798E-2</v>
      </c>
      <c r="Q33" s="246">
        <f t="shared" si="122"/>
        <v>3.8557692307692237E-2</v>
      </c>
      <c r="R33" s="246">
        <f t="shared" si="122"/>
        <v>8.2514396815109636E-2</v>
      </c>
      <c r="S33" s="246">
        <f t="shared" si="122"/>
        <v>5.5166598558804569E-2</v>
      </c>
      <c r="T33" s="246">
        <f t="shared" si="122"/>
        <v>-0.1005198966804538</v>
      </c>
      <c r="U33" s="246">
        <f t="shared" si="122"/>
        <v>4.3178774599064829E-2</v>
      </c>
      <c r="V33" s="246">
        <f t="shared" si="122"/>
        <v>4.601651359646719E-2</v>
      </c>
      <c r="W33" s="246">
        <f t="shared" si="122"/>
        <v>-3.1940017403614185E-2</v>
      </c>
      <c r="X33" s="246">
        <f t="shared" si="122"/>
        <v>-3.2308561400240188E-2</v>
      </c>
      <c r="Y33" s="246">
        <f t="shared" si="122"/>
        <v>3.3127899790981408E-2</v>
      </c>
      <c r="Z33" s="246">
        <f t="shared" si="122"/>
        <v>7.2933174370157339E-2</v>
      </c>
      <c r="AA33" s="246">
        <f t="shared" si="122"/>
        <v>2.5516223954191286E-2</v>
      </c>
      <c r="AB33" s="246">
        <f t="shared" si="122"/>
        <v>-7.8202592804362814E-3</v>
      </c>
      <c r="AC33" s="246">
        <f t="shared" si="122"/>
        <v>-1.5358761919648245E-4</v>
      </c>
      <c r="AD33" s="246">
        <f t="shared" si="122"/>
        <v>5.9174713014778391E-2</v>
      </c>
      <c r="AE33" s="246">
        <f t="shared" si="122"/>
        <v>1.2183334563436343E-2</v>
      </c>
      <c r="AF33" s="246">
        <f t="shared" si="122"/>
        <v>-7.5944839723752433E-2</v>
      </c>
      <c r="AG33" s="246">
        <f t="shared" si="122"/>
        <v>5.5147819789199692E-2</v>
      </c>
      <c r="AH33" s="246">
        <f t="shared" si="122"/>
        <v>3.1272213884789846E-2</v>
      </c>
      <c r="AI33" s="246">
        <f t="shared" si="122"/>
        <v>2.0190829638936814E-2</v>
      </c>
      <c r="AJ33" s="246">
        <f t="shared" si="122"/>
        <v>-6.4924936025021251E-2</v>
      </c>
      <c r="AK33" s="246">
        <f>AK3/AJ3-1</f>
        <v>4.681756302492901E-2</v>
      </c>
      <c r="AL33" s="246">
        <f>AL3/AK3-1</f>
        <v>4.5383959802778318E-3</v>
      </c>
      <c r="AM33" s="246">
        <f t="shared" ref="AM33:AO33" si="123">AM3/AL3-1</f>
        <v>1.7132942962481135E-2</v>
      </c>
      <c r="AN33" s="246">
        <f t="shared" si="123"/>
        <v>-4.6908315565031944E-2</v>
      </c>
      <c r="AO33" s="246">
        <f t="shared" si="123"/>
        <v>4.8316703952274498E-2</v>
      </c>
      <c r="AP33" s="290">
        <f t="shared" ref="AP33:AS33" si="124">AP3/AO3-1</f>
        <v>3.6799878104361028E-3</v>
      </c>
      <c r="AQ33" s="290">
        <f t="shared" si="124"/>
        <v>2.2118888761316624E-2</v>
      </c>
      <c r="AR33" s="290">
        <f t="shared" si="124"/>
        <v>-4.6908315565031944E-2</v>
      </c>
      <c r="AS33" s="290">
        <f t="shared" si="124"/>
        <v>4.8316703952274498E-2</v>
      </c>
      <c r="AU33" s="290">
        <v>4.22864697986578E-2</v>
      </c>
      <c r="AW33" s="246" t="e">
        <f>AW3/A3-1</f>
        <v>#VALUE!</v>
      </c>
      <c r="AX33" s="246">
        <f t="shared" ref="AX33:CD33" si="125">AX3/AW3-1</f>
        <v>0.1925433810668602</v>
      </c>
      <c r="AY33" s="246">
        <f t="shared" si="125"/>
        <v>0.12844029232222098</v>
      </c>
      <c r="AZ33" s="246">
        <f t="shared" si="125"/>
        <v>0.14696563121069151</v>
      </c>
      <c r="BA33" s="246">
        <f t="shared" si="125"/>
        <v>-1.7126404798478934E-2</v>
      </c>
      <c r="BB33" s="246">
        <f t="shared" si="125"/>
        <v>2.9556500578388656E-2</v>
      </c>
      <c r="BC33" s="246">
        <f t="shared" si="125"/>
        <v>6.2383604911518731E-2</v>
      </c>
      <c r="BD33" s="246">
        <f t="shared" si="125"/>
        <v>0.15781949289507002</v>
      </c>
      <c r="BE33" s="246">
        <f t="shared" si="125"/>
        <v>0.11031946255220437</v>
      </c>
      <c r="BF33" s="246">
        <f t="shared" si="125"/>
        <v>-8.6368200610705048E-2</v>
      </c>
      <c r="BG33" s="246">
        <f t="shared" si="125"/>
        <v>6.9494532890882033E-2</v>
      </c>
      <c r="BH33" s="246">
        <f t="shared" si="125"/>
        <v>7.3150463498231177E-2</v>
      </c>
      <c r="BI33" s="246">
        <f t="shared" si="125"/>
        <v>7.160850376821104E-2</v>
      </c>
      <c r="BJ33" s="246">
        <f t="shared" si="125"/>
        <v>6.0493056349175678E-2</v>
      </c>
      <c r="BK33" s="246">
        <f t="shared" si="125"/>
        <v>2.0455542203908994E-2</v>
      </c>
      <c r="BL33" s="246">
        <f t="shared" si="125"/>
        <v>9.5623461627046158E-2</v>
      </c>
      <c r="BM33" s="246">
        <f t="shared" si="125"/>
        <v>1.3277850589508589E-2</v>
      </c>
      <c r="BN33" s="246">
        <f t="shared" si="125"/>
        <v>-1.9228799337518643E-2</v>
      </c>
      <c r="BO33" s="246">
        <f t="shared" si="125"/>
        <v>0.10648286161338016</v>
      </c>
      <c r="BP33" s="246">
        <f t="shared" si="125"/>
        <v>0.10724821163505172</v>
      </c>
      <c r="BQ33" s="246">
        <f t="shared" si="125"/>
        <v>5.904227657118355E-2</v>
      </c>
      <c r="BR33" s="246">
        <f t="shared" si="125"/>
        <v>8.6350810893253804E-2</v>
      </c>
      <c r="BS33" s="246">
        <f t="shared" si="125"/>
        <v>6.0303536726570295E-2</v>
      </c>
      <c r="BT33" s="246">
        <f t="shared" si="125"/>
        <v>7.3606841821699964E-2</v>
      </c>
      <c r="BU33" s="246">
        <f t="shared" si="125"/>
        <v>4.0911382474253521E-3</v>
      </c>
      <c r="BV33" s="246">
        <f t="shared" si="125"/>
        <v>8.8730248710265913E-2</v>
      </c>
      <c r="BW33" s="246">
        <f t="shared" si="125"/>
        <v>4.4112887474254237E-2</v>
      </c>
      <c r="BX33" s="246">
        <f t="shared" si="125"/>
        <v>2.768232136782478E-2</v>
      </c>
      <c r="BY33" s="246">
        <f t="shared" si="125"/>
        <v>1.073714543950044E-2</v>
      </c>
      <c r="BZ33" s="246">
        <f t="shared" si="125"/>
        <v>2.3750878777955009E-2</v>
      </c>
      <c r="CA33" s="290">
        <f t="shared" si="125"/>
        <v>2.0000000000000018E-2</v>
      </c>
      <c r="CB33" s="290">
        <f t="shared" si="125"/>
        <v>2.0000000000000018E-2</v>
      </c>
      <c r="CC33" s="290">
        <f t="shared" si="125"/>
        <v>2.0000000000000018E-2</v>
      </c>
      <c r="CD33" s="290">
        <f t="shared" si="125"/>
        <v>2.0000000000000018E-2</v>
      </c>
    </row>
    <row r="34" spans="1:82" ht="13.5" customHeight="1">
      <c r="A34" s="260" t="s">
        <v>76</v>
      </c>
      <c r="B34" s="246"/>
      <c r="C34" s="246">
        <f t="shared" ref="C34:K34" si="126">C16/B16-1</f>
        <v>-4.0076707670970269E-2</v>
      </c>
      <c r="D34" s="246">
        <f t="shared" si="126"/>
        <v>4.1566019772480978E-2</v>
      </c>
      <c r="E34" s="246">
        <f t="shared" si="126"/>
        <v>-4.7190868629769955E-2</v>
      </c>
      <c r="F34" s="246">
        <f t="shared" si="126"/>
        <v>-3.3307375320419275E-2</v>
      </c>
      <c r="G34" s="246">
        <f t="shared" si="126"/>
        <v>-2.3046686953180129E-2</v>
      </c>
      <c r="H34" s="246">
        <f t="shared" si="126"/>
        <v>-0.12580112447881997</v>
      </c>
      <c r="I34" s="246">
        <f t="shared" si="126"/>
        <v>0.12280525750490323</v>
      </c>
      <c r="J34" s="246">
        <f t="shared" si="126"/>
        <v>0.12220540648088707</v>
      </c>
      <c r="K34" s="246">
        <f t="shared" si="126"/>
        <v>-1.3982690520828456E-3</v>
      </c>
      <c r="L34" s="246">
        <f>L16/K16-1</f>
        <v>-0.15499653333892272</v>
      </c>
      <c r="M34" s="246">
        <f>M16/L16-1</f>
        <v>4.0805080438492958E-2</v>
      </c>
      <c r="N34" s="246">
        <f t="shared" ref="N34:AJ34" si="127">N16/M16-1</f>
        <v>0.19540080563006423</v>
      </c>
      <c r="O34" s="246">
        <f t="shared" si="127"/>
        <v>9.5080462502042717E-2</v>
      </c>
      <c r="P34" s="246">
        <f t="shared" si="127"/>
        <v>-5.8122092877975318E-2</v>
      </c>
      <c r="Q34" s="246">
        <f t="shared" si="127"/>
        <v>0.11611556904474241</v>
      </c>
      <c r="R34" s="246">
        <f t="shared" si="127"/>
        <v>9.1522794616522019E-2</v>
      </c>
      <c r="S34" s="246">
        <f t="shared" si="127"/>
        <v>3.6497506209588249E-2</v>
      </c>
      <c r="T34" s="246">
        <f t="shared" si="127"/>
        <v>-0.14605212172400817</v>
      </c>
      <c r="U34" s="246">
        <f t="shared" si="127"/>
        <v>8.9396537695173306E-2</v>
      </c>
      <c r="V34" s="246">
        <f t="shared" si="127"/>
        <v>4.6141223530307363E-2</v>
      </c>
      <c r="W34" s="246">
        <f t="shared" si="127"/>
        <v>-0.16157489406939729</v>
      </c>
      <c r="X34" s="246">
        <f t="shared" si="127"/>
        <v>-0.17796078356361533</v>
      </c>
      <c r="Y34" s="246">
        <f t="shared" si="127"/>
        <v>-6.5118012778117462E-2</v>
      </c>
      <c r="Z34" s="246">
        <f t="shared" si="127"/>
        <v>0.2034002876651031</v>
      </c>
      <c r="AA34" s="246">
        <f t="shared" si="127"/>
        <v>6.4408918035498974E-2</v>
      </c>
      <c r="AB34" s="246">
        <f t="shared" si="127"/>
        <v>2.9841688831824698E-2</v>
      </c>
      <c r="AC34" s="246">
        <f t="shared" si="127"/>
        <v>7.493082320566713E-2</v>
      </c>
      <c r="AD34" s="246">
        <f t="shared" si="127"/>
        <v>0.10216844613821441</v>
      </c>
      <c r="AE34" s="246">
        <f t="shared" si="127"/>
        <v>7.5666666564579321E-2</v>
      </c>
      <c r="AF34" s="246">
        <f t="shared" si="127"/>
        <v>-2.3520404575217202E-2</v>
      </c>
      <c r="AG34" s="246">
        <f t="shared" si="127"/>
        <v>8.1692188459473014E-2</v>
      </c>
      <c r="AH34" s="246">
        <f t="shared" si="127"/>
        <v>4.9727060095837938E-2</v>
      </c>
      <c r="AI34" s="246">
        <f t="shared" si="127"/>
        <v>3.5776428330048571E-2</v>
      </c>
      <c r="AJ34" s="246">
        <f t="shared" si="127"/>
        <v>-0.14103980795276461</v>
      </c>
      <c r="AK34" s="246">
        <f>AK16/AJ16-1</f>
        <v>1.0903098198481453E-2</v>
      </c>
      <c r="AL34" s="246">
        <f>AL16/AK16-1</f>
        <v>-9.1081436814590688E-3</v>
      </c>
      <c r="AM34" s="246">
        <f t="shared" ref="AM34:AO34" si="128">AM16/AL16-1</f>
        <v>2.8329648538899521E-2</v>
      </c>
      <c r="AN34" s="246">
        <f t="shared" si="128"/>
        <v>-5.9931536116701878E-2</v>
      </c>
      <c r="AO34" s="246">
        <f t="shared" si="128"/>
        <v>0.10678360655737684</v>
      </c>
      <c r="AP34" s="290">
        <f t="shared" ref="AP34:AS34" si="129">AP16/AO16-1</f>
        <v>-6.420439715352444E-3</v>
      </c>
      <c r="AQ34" s="290">
        <f t="shared" si="129"/>
        <v>5.0723961784151506E-2</v>
      </c>
      <c r="AR34" s="290">
        <f t="shared" si="129"/>
        <v>-0.10766095939463782</v>
      </c>
      <c r="AS34" s="290">
        <f t="shared" si="129"/>
        <v>0.12092385023355301</v>
      </c>
      <c r="AU34" s="290">
        <v>9.4693530156520156E-2</v>
      </c>
      <c r="AW34" s="246" t="e">
        <f>AW16/A16-1</f>
        <v>#VALUE!</v>
      </c>
      <c r="AX34" s="246">
        <f t="shared" ref="AX34:CD34" si="130">AX16/AW16-1</f>
        <v>0.26585212921541257</v>
      </c>
      <c r="AY34" s="246">
        <f t="shared" si="130"/>
        <v>0.19820959164476082</v>
      </c>
      <c r="AZ34" s="246">
        <f t="shared" si="130"/>
        <v>9.8549532837850951E-2</v>
      </c>
      <c r="BA34" s="246">
        <f t="shared" si="130"/>
        <v>-1.7998108820960534E-2</v>
      </c>
      <c r="BB34" s="246">
        <f t="shared" si="130"/>
        <v>-5.2110473309436856E-3</v>
      </c>
      <c r="BC34" s="246">
        <f t="shared" si="130"/>
        <v>-2.4089368636985964E-2</v>
      </c>
      <c r="BD34" s="246">
        <f t="shared" si="130"/>
        <v>7.3805821872929611E-2</v>
      </c>
      <c r="BE34" s="246">
        <f t="shared" si="130"/>
        <v>9.6550325210760679E-2</v>
      </c>
      <c r="BF34" s="246">
        <f t="shared" si="130"/>
        <v>1.4845505140604676E-2</v>
      </c>
      <c r="BG34" s="246">
        <f t="shared" si="130"/>
        <v>-1.1024567685878228E-2</v>
      </c>
      <c r="BH34" s="246">
        <f t="shared" si="130"/>
        <v>6.481421543241872E-2</v>
      </c>
      <c r="BI34" s="246">
        <f t="shared" si="130"/>
        <v>0.11127139647816797</v>
      </c>
      <c r="BJ34" s="246">
        <f t="shared" si="130"/>
        <v>2.2016444932801527E-2</v>
      </c>
      <c r="BK34" s="246">
        <f t="shared" si="130"/>
        <v>-0.11699880480328806</v>
      </c>
      <c r="BL34" s="246">
        <f t="shared" si="130"/>
        <v>0.14133256660496607</v>
      </c>
      <c r="BM34" s="246">
        <f t="shared" si="130"/>
        <v>7.270556248772797E-2</v>
      </c>
      <c r="BN34" s="246">
        <f t="shared" si="130"/>
        <v>-0.14199278870922616</v>
      </c>
      <c r="BO34" s="246">
        <f t="shared" si="130"/>
        <v>0.17590206426565058</v>
      </c>
      <c r="BP34" s="246">
        <f t="shared" si="130"/>
        <v>9.2749927750786165E-2</v>
      </c>
      <c r="BQ34" s="246">
        <f t="shared" si="130"/>
        <v>-0.23503770377330946</v>
      </c>
      <c r="BR34" s="246">
        <f t="shared" si="130"/>
        <v>7.1662084163675255E-2</v>
      </c>
      <c r="BS34" s="246">
        <f t="shared" si="130"/>
        <v>0.19922102467439973</v>
      </c>
      <c r="BT34" s="246">
        <f t="shared" si="130"/>
        <v>0.32081581938826775</v>
      </c>
      <c r="BU34" s="246">
        <f t="shared" si="130"/>
        <v>-0.17658243682762154</v>
      </c>
      <c r="BV34" s="246">
        <f t="shared" si="130"/>
        <v>6.0649489547886626E-2</v>
      </c>
      <c r="BW34" s="246">
        <f t="shared" si="130"/>
        <v>0.27574293367360947</v>
      </c>
      <c r="BX34" s="246">
        <f t="shared" si="130"/>
        <v>7.0290883701057183E-2</v>
      </c>
      <c r="BY34" s="246">
        <f t="shared" si="130"/>
        <v>-5.3035506873433391E-2</v>
      </c>
      <c r="BZ34" s="246">
        <f t="shared" si="130"/>
        <v>5.6549419481449981E-2</v>
      </c>
      <c r="CA34" s="290">
        <f t="shared" si="130"/>
        <v>-3.1751667426274111E-3</v>
      </c>
      <c r="CB34" s="290">
        <f t="shared" si="130"/>
        <v>1.444890072579641E-3</v>
      </c>
      <c r="CC34" s="290">
        <f t="shared" si="130"/>
        <v>9.1649099683155377E-4</v>
      </c>
      <c r="CD34" s="290">
        <f t="shared" si="130"/>
        <v>3.6210520393775703E-4</v>
      </c>
    </row>
    <row r="35" spans="1:82" ht="13.5" customHeight="1">
      <c r="A35" s="260" t="s">
        <v>77</v>
      </c>
      <c r="B35" s="246"/>
      <c r="C35" s="246">
        <f t="shared" ref="C35:K35" si="131">C31/B31-1</f>
        <v>6.2616697654098497E-2</v>
      </c>
      <c r="D35" s="246">
        <f t="shared" si="131"/>
        <v>0.11453183373181153</v>
      </c>
      <c r="E35" s="246">
        <f t="shared" si="131"/>
        <v>-9.1316893001453958E-2</v>
      </c>
      <c r="F35" s="246">
        <f t="shared" si="131"/>
        <v>-8.1233330025164197E-2</v>
      </c>
      <c r="G35" s="246">
        <f t="shared" si="131"/>
        <v>-7.4479549221474817E-2</v>
      </c>
      <c r="H35" s="246">
        <f t="shared" si="131"/>
        <v>-0.15679974421952925</v>
      </c>
      <c r="I35" s="246">
        <f t="shared" si="131"/>
        <v>0.25755056040389701</v>
      </c>
      <c r="J35" s="246">
        <f t="shared" si="131"/>
        <v>0.12295459558156341</v>
      </c>
      <c r="K35" s="246">
        <f t="shared" si="131"/>
        <v>-9.2860226923341505E-2</v>
      </c>
      <c r="L35" s="246">
        <f>L31/K31-1</f>
        <v>-0.17121226516793153</v>
      </c>
      <c r="M35" s="246">
        <f>M31/L31-1</f>
        <v>0.10862973034641765</v>
      </c>
      <c r="N35" s="246">
        <f t="shared" ref="N35:AJ35" si="132">N31/M31-1</f>
        <v>0.14584340044742694</v>
      </c>
      <c r="O35" s="246">
        <f t="shared" si="132"/>
        <v>0.13417364321712699</v>
      </c>
      <c r="P35" s="246">
        <f t="shared" si="132"/>
        <v>-5.6331853674435717E-2</v>
      </c>
      <c r="Q35" s="246">
        <f t="shared" si="132"/>
        <v>0.17472428490006342</v>
      </c>
      <c r="R35" s="246">
        <f t="shared" si="132"/>
        <v>5.4475723270613674E-2</v>
      </c>
      <c r="S35" s="246">
        <f t="shared" si="132"/>
        <v>0.1383127240454205</v>
      </c>
      <c r="T35" s="246">
        <f t="shared" si="132"/>
        <v>-0.22495694847328762</v>
      </c>
      <c r="U35" s="246">
        <f t="shared" si="132"/>
        <v>0.19481420318691067</v>
      </c>
      <c r="V35" s="246">
        <f t="shared" si="132"/>
        <v>-5.1864237767078603E-3</v>
      </c>
      <c r="W35" s="246">
        <f t="shared" si="132"/>
        <v>-0.23715857840291887</v>
      </c>
      <c r="X35" s="246">
        <f t="shared" si="132"/>
        <v>-0.28085054854965141</v>
      </c>
      <c r="Y35" s="246">
        <f t="shared" si="132"/>
        <v>-0.10065861852801206</v>
      </c>
      <c r="Z35" s="246">
        <f t="shared" si="132"/>
        <v>0.38053931378924011</v>
      </c>
      <c r="AA35" s="246">
        <f t="shared" si="132"/>
        <v>7.708259071545065E-2</v>
      </c>
      <c r="AB35" s="246">
        <f t="shared" si="132"/>
        <v>5.9184953084735037E-2</v>
      </c>
      <c r="AC35" s="246">
        <f t="shared" si="132"/>
        <v>0.14626789543931751</v>
      </c>
      <c r="AD35" s="246">
        <f t="shared" si="132"/>
        <v>0.13347350395626978</v>
      </c>
      <c r="AE35" s="246">
        <f t="shared" si="132"/>
        <v>0.11591360838488662</v>
      </c>
      <c r="AF35" s="246">
        <f t="shared" si="132"/>
        <v>-7.1437820918599737E-2</v>
      </c>
      <c r="AG35" s="246">
        <f t="shared" si="132"/>
        <v>0.15532739960270314</v>
      </c>
      <c r="AH35" s="246">
        <f t="shared" si="132"/>
        <v>7.8359078819626671E-2</v>
      </c>
      <c r="AI35" s="246">
        <f t="shared" si="132"/>
        <v>2.4874097012677954E-2</v>
      </c>
      <c r="AJ35" s="246">
        <f t="shared" si="132"/>
        <v>-0.1396898465256835</v>
      </c>
      <c r="AK35" s="246">
        <f>AK31/AJ31-1</f>
        <v>-1.3757192079454583E-2</v>
      </c>
      <c r="AL35" s="246">
        <f>AL31/AK31-1</f>
        <v>2.8538431144237597E-2</v>
      </c>
      <c r="AM35" s="246">
        <f t="shared" ref="AM35:AO35" si="133">AM31/AL31-1</f>
        <v>1.849457903311591E-2</v>
      </c>
      <c r="AN35" s="246">
        <f t="shared" si="133"/>
        <v>-9.6204499020428713E-2</v>
      </c>
      <c r="AO35" s="246">
        <f t="shared" si="133"/>
        <v>0.31275246186703387</v>
      </c>
      <c r="AP35" s="290">
        <f t="shared" ref="AP35:AS35" si="134">AP31/AO31-1</f>
        <v>-9.5946945006396445E-2</v>
      </c>
      <c r="AQ35" s="290">
        <f t="shared" si="134"/>
        <v>9.0868426681764314E-2</v>
      </c>
      <c r="AR35" s="290">
        <f t="shared" si="134"/>
        <v>-0.1295667939914007</v>
      </c>
      <c r="AS35" s="290">
        <f t="shared" si="134"/>
        <v>0.16044589303821177</v>
      </c>
      <c r="AU35" s="290">
        <v>0.15086989669105666</v>
      </c>
      <c r="AW35" s="246" t="e">
        <f>AW31/A31-1</f>
        <v>#VALUE!</v>
      </c>
      <c r="AX35" s="246">
        <f t="shared" ref="AX35:CD35" si="135">AX31/AW31-1</f>
        <v>-7.282315605491152E-2</v>
      </c>
      <c r="AY35" s="246">
        <f t="shared" si="135"/>
        <v>0.34393704813836368</v>
      </c>
      <c r="AZ35" s="246">
        <f t="shared" si="135"/>
        <v>3.7064934003703032E-2</v>
      </c>
      <c r="BA35" s="246">
        <f t="shared" si="135"/>
        <v>-7.8650384283109664E-2</v>
      </c>
      <c r="BB35" s="246">
        <f t="shared" si="135"/>
        <v>-0.22116232887813037</v>
      </c>
      <c r="BC35" s="246">
        <f t="shared" si="135"/>
        <v>-2.4913309779519444E-2</v>
      </c>
      <c r="BD35" s="246">
        <f t="shared" si="135"/>
        <v>0.44283214813457938</v>
      </c>
      <c r="BE35" s="246">
        <f t="shared" si="135"/>
        <v>-2.8042788219017845E-2</v>
      </c>
      <c r="BF35" s="246">
        <f t="shared" si="135"/>
        <v>0.35361612316703628</v>
      </c>
      <c r="BG35" s="246">
        <f t="shared" si="135"/>
        <v>8.3607340455442047E-2</v>
      </c>
      <c r="BH35" s="246">
        <f t="shared" si="135"/>
        <v>0.43119355791671921</v>
      </c>
      <c r="BI35" s="246">
        <f t="shared" si="135"/>
        <v>6.202293680994253E-2</v>
      </c>
      <c r="BJ35" s="246">
        <f t="shared" si="135"/>
        <v>9.6648324308576949E-3</v>
      </c>
      <c r="BK35" s="246">
        <f t="shared" si="135"/>
        <v>-0.73367495221499912</v>
      </c>
      <c r="BL35" s="246">
        <f t="shared" si="135"/>
        <v>-1.2104889235396654E-2</v>
      </c>
      <c r="BM35" s="246">
        <f t="shared" si="135"/>
        <v>0.1296013579423132</v>
      </c>
      <c r="BN35" s="246">
        <f t="shared" si="135"/>
        <v>-0.22212783710070283</v>
      </c>
      <c r="BO35" s="246">
        <f t="shared" si="135"/>
        <v>0.22288029766682382</v>
      </c>
      <c r="BP35" s="246">
        <f t="shared" si="135"/>
        <v>0.11001072842668247</v>
      </c>
      <c r="BQ35" s="246">
        <f t="shared" si="135"/>
        <v>-0.15079922913225274</v>
      </c>
      <c r="BR35" s="246">
        <f t="shared" si="135"/>
        <v>3.627939117947987E-2</v>
      </c>
      <c r="BS35" s="246">
        <f t="shared" si="135"/>
        <v>0.22011918677356168</v>
      </c>
      <c r="BT35" s="246">
        <f t="shared" si="135"/>
        <v>0.21076233532703581</v>
      </c>
      <c r="BU35" s="246">
        <f t="shared" si="135"/>
        <v>-0.27815935831076166</v>
      </c>
      <c r="BV35" s="246">
        <f t="shared" si="135"/>
        <v>0.10149514338944154</v>
      </c>
      <c r="BW35" s="246">
        <f t="shared" si="135"/>
        <v>0.42125854993159972</v>
      </c>
      <c r="BX35" s="246">
        <f t="shared" si="135"/>
        <v>0.12820843038434648</v>
      </c>
      <c r="BY35" s="246">
        <f t="shared" si="135"/>
        <v>-1.8412939864397071E-2</v>
      </c>
      <c r="BZ35" s="246">
        <f t="shared" si="135"/>
        <v>9.362429073226286E-2</v>
      </c>
      <c r="CA35" s="290">
        <f t="shared" si="135"/>
        <v>1.6210408604677706E-3</v>
      </c>
      <c r="CB35" s="290">
        <f t="shared" si="135"/>
        <v>3.6688861982445697E-3</v>
      </c>
      <c r="CC35" s="290">
        <f t="shared" si="135"/>
        <v>3.1482643762370532E-3</v>
      </c>
      <c r="CD35" s="290">
        <f t="shared" si="135"/>
        <v>1.0133883814386513E-2</v>
      </c>
    </row>
    <row r="36" spans="1:82" ht="13.5" customHeight="1">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6"/>
      <c r="AA36" s="246"/>
      <c r="AB36" s="246"/>
      <c r="AC36" s="246"/>
      <c r="AD36" s="246"/>
      <c r="AE36" s="246"/>
      <c r="AF36" s="246"/>
      <c r="AG36" s="246"/>
      <c r="AH36" s="246"/>
      <c r="AI36" s="246"/>
      <c r="AJ36" s="246"/>
      <c r="AK36" s="246"/>
      <c r="AL36" s="246"/>
      <c r="AM36" s="246"/>
      <c r="AN36" s="246"/>
      <c r="AO36" s="246"/>
      <c r="AP36" s="290"/>
      <c r="AQ36" s="290"/>
      <c r="AR36" s="290"/>
      <c r="AS36" s="290"/>
      <c r="AU36" s="290"/>
      <c r="AW36" s="246"/>
      <c r="AX36" s="246"/>
      <c r="AY36" s="246"/>
      <c r="AZ36" s="246"/>
      <c r="BA36" s="246"/>
      <c r="BB36" s="246"/>
      <c r="BC36" s="246"/>
      <c r="BD36" s="246"/>
      <c r="BE36" s="246"/>
      <c r="BF36" s="246"/>
      <c r="BG36" s="246"/>
      <c r="BH36" s="246"/>
      <c r="BI36" s="246"/>
      <c r="BJ36" s="246"/>
      <c r="BK36" s="246"/>
      <c r="BL36" s="246"/>
      <c r="BM36" s="246"/>
      <c r="BN36" s="246"/>
      <c r="BO36" s="246"/>
      <c r="BP36" s="246"/>
      <c r="BQ36" s="246"/>
      <c r="BR36" s="246"/>
      <c r="BS36" s="246"/>
      <c r="BT36" s="246"/>
      <c r="BU36" s="246"/>
      <c r="BV36" s="246"/>
      <c r="BW36" s="246"/>
      <c r="BX36" s="246"/>
      <c r="BY36" s="246"/>
      <c r="BZ36" s="246"/>
      <c r="CA36" s="290"/>
      <c r="CB36" s="290"/>
      <c r="CC36" s="290"/>
      <c r="CD36" s="290"/>
    </row>
    <row r="37" spans="1:82" s="383" customFormat="1" ht="13.5" customHeight="1">
      <c r="A37" s="383" t="s">
        <v>78</v>
      </c>
      <c r="B37" s="384">
        <f>B27/AVERAGE(B88:B88)</f>
        <v>0.36776930573869121</v>
      </c>
      <c r="C37" s="384">
        <f t="shared" ref="C37:AJ37" si="136">C27/AVERAGE(B88:C88)</f>
        <v>0.31821267904873946</v>
      </c>
      <c r="D37" s="384">
        <f t="shared" si="136"/>
        <v>0.25940298884659074</v>
      </c>
      <c r="E37" s="384">
        <f t="shared" si="136"/>
        <v>0.18734913207081097</v>
      </c>
      <c r="F37" s="384">
        <f t="shared" si="136"/>
        <v>0.21997739166231278</v>
      </c>
      <c r="G37" s="384">
        <f t="shared" si="136"/>
        <v>0.28966732973377185</v>
      </c>
      <c r="H37" s="384">
        <f t="shared" si="136"/>
        <v>0.19295749505481405</v>
      </c>
      <c r="I37" s="384">
        <f t="shared" si="136"/>
        <v>0.19706327862211234</v>
      </c>
      <c r="J37" s="384">
        <f t="shared" si="136"/>
        <v>0.29373258366383409</v>
      </c>
      <c r="K37" s="384">
        <f t="shared" si="136"/>
        <v>0.40931512637643586</v>
      </c>
      <c r="L37" s="384">
        <f t="shared" si="136"/>
        <v>0.24847558261735536</v>
      </c>
      <c r="M37" s="384">
        <f t="shared" si="136"/>
        <v>0.2086558084735731</v>
      </c>
      <c r="N37" s="384">
        <f t="shared" si="136"/>
        <v>0.31955221784404464</v>
      </c>
      <c r="O37" s="384">
        <f t="shared" si="136"/>
        <v>0.56905703553161602</v>
      </c>
      <c r="P37" s="384">
        <f t="shared" si="136"/>
        <v>0.35570116383122719</v>
      </c>
      <c r="Q37" s="384">
        <f t="shared" si="136"/>
        <v>0.31233844858474979</v>
      </c>
      <c r="R37" s="384">
        <f t="shared" si="136"/>
        <v>0.41216262969011136</v>
      </c>
      <c r="S37" s="384">
        <f t="shared" si="136"/>
        <v>0.61485603499796637</v>
      </c>
      <c r="T37" s="384">
        <f t="shared" si="136"/>
        <v>0.30987888651503137</v>
      </c>
      <c r="U37" s="384">
        <f t="shared" si="136"/>
        <v>0.29332886023263227</v>
      </c>
      <c r="V37" s="384">
        <f t="shared" si="136"/>
        <v>0.37947857276845853</v>
      </c>
      <c r="W37" s="384">
        <f t="shared" si="136"/>
        <v>0.36736152554056839</v>
      </c>
      <c r="X37" s="384">
        <f t="shared" si="136"/>
        <v>0.19299576532254545</v>
      </c>
      <c r="Y37" s="384">
        <f t="shared" si="136"/>
        <v>0.14620820657800604</v>
      </c>
      <c r="Z37" s="384">
        <f t="shared" si="136"/>
        <v>0.29863627955037791</v>
      </c>
      <c r="AA37" s="384">
        <f t="shared" si="136"/>
        <v>0.51178427868806753</v>
      </c>
      <c r="AB37" s="384">
        <f t="shared" si="136"/>
        <v>0.37135882836424461</v>
      </c>
      <c r="AC37" s="384">
        <f t="shared" si="136"/>
        <v>0.32612499266388884</v>
      </c>
      <c r="AD37" s="384">
        <f t="shared" si="136"/>
        <v>0.50139191314399789</v>
      </c>
      <c r="AE37" s="384">
        <f t="shared" si="136"/>
        <v>0.78460320529997141</v>
      </c>
      <c r="AF37" s="384">
        <f t="shared" si="136"/>
        <v>0.40002001552160588</v>
      </c>
      <c r="AG37" s="384">
        <f t="shared" si="136"/>
        <v>0.31925863027673201</v>
      </c>
      <c r="AH37" s="384">
        <f t="shared" si="136"/>
        <v>0.41164483571438371</v>
      </c>
      <c r="AI37" s="384">
        <f t="shared" si="136"/>
        <v>0.49008865790980527</v>
      </c>
      <c r="AJ37" s="384">
        <f t="shared" si="136"/>
        <v>0.30346485895659681</v>
      </c>
      <c r="AK37" s="384">
        <f>AK27/AVERAGE(AJ88:AK88)</f>
        <v>0.25746243051233703</v>
      </c>
      <c r="AL37" s="384">
        <f>AL27/AVERAGE(AK88:AL88)</f>
        <v>0.36463810741992209</v>
      </c>
      <c r="AM37" s="384">
        <f t="shared" ref="AM37:AO37" si="137">AM27/AVERAGE(AL88:AM88)</f>
        <v>0.54389867669679159</v>
      </c>
      <c r="AN37" s="384">
        <f t="shared" si="137"/>
        <v>0.35351784122584257</v>
      </c>
      <c r="AO37" s="384">
        <f t="shared" si="137"/>
        <v>0.34991409099023268</v>
      </c>
      <c r="AP37" s="385">
        <f t="shared" ref="AP37:AS37" si="138">AP27/AVERAGE(AO88:AP88)</f>
        <v>0.24005676562559047</v>
      </c>
      <c r="AQ37" s="385">
        <f t="shared" si="138"/>
        <v>0.22699011324386115</v>
      </c>
      <c r="AR37" s="385">
        <f t="shared" si="138"/>
        <v>0.19031720752796086</v>
      </c>
      <c r="AS37" s="385">
        <f t="shared" si="138"/>
        <v>0.23256559172714766</v>
      </c>
      <c r="AU37" s="385">
        <v>0.40753741593363418</v>
      </c>
      <c r="AW37" s="384">
        <f>AW27/AVERAGE(A88:AW88)</f>
        <v>0.39921363531087156</v>
      </c>
      <c r="AX37" s="384">
        <f t="shared" ref="AX37:CD37" si="139">AX27/AVERAGE(AW88:AX88)</f>
        <v>0.1641114991689249</v>
      </c>
      <c r="AY37" s="384">
        <f t="shared" si="139"/>
        <v>0.20602107002774853</v>
      </c>
      <c r="AZ37" s="384">
        <f t="shared" si="139"/>
        <v>0.23367837539487663</v>
      </c>
      <c r="BA37" s="384">
        <f t="shared" si="139"/>
        <v>0.22181157565231488</v>
      </c>
      <c r="BB37" s="384">
        <f t="shared" si="139"/>
        <v>0.16608726676276575</v>
      </c>
      <c r="BC37" s="384">
        <f t="shared" si="139"/>
        <v>0.15668537629599902</v>
      </c>
      <c r="BD37" s="384">
        <f t="shared" si="139"/>
        <v>0.21729319684689585</v>
      </c>
      <c r="BE37" s="384">
        <f t="shared" si="139"/>
        <v>0.20937825958832884</v>
      </c>
      <c r="BF37" s="384">
        <f t="shared" si="139"/>
        <v>0.31806133763088251</v>
      </c>
      <c r="BG37" s="384">
        <f t="shared" si="139"/>
        <v>0.38447145828439727</v>
      </c>
      <c r="BH37" s="384">
        <f t="shared" si="139"/>
        <v>0.5608230745691587</v>
      </c>
      <c r="BI37" s="384">
        <f t="shared" si="139"/>
        <v>0.60872696074322941</v>
      </c>
      <c r="BJ37" s="384">
        <f t="shared" si="139"/>
        <v>0.6214768249674355</v>
      </c>
      <c r="BK37" s="384">
        <f t="shared" si="139"/>
        <v>0.49049094000107418</v>
      </c>
      <c r="BL37" s="384">
        <f t="shared" si="139"/>
        <v>0.47248637025432105</v>
      </c>
      <c r="BM37" s="384">
        <f t="shared" si="139"/>
        <v>0.53420261860326612</v>
      </c>
      <c r="BN37" s="384">
        <f t="shared" si="139"/>
        <v>0.45668866512376133</v>
      </c>
      <c r="BO37" s="384">
        <f t="shared" si="139"/>
        <v>0.63331129179967205</v>
      </c>
      <c r="BP37" s="384">
        <f t="shared" si="139"/>
        <v>0.69791525849776881</v>
      </c>
      <c r="BQ37" s="384">
        <f t="shared" si="139"/>
        <v>0.62136796804087702</v>
      </c>
      <c r="BR37" s="384">
        <f t="shared" si="139"/>
        <v>0.7234114211851711</v>
      </c>
      <c r="BS37" s="384">
        <f t="shared" si="139"/>
        <v>0.94821456611761745</v>
      </c>
      <c r="BT37" s="384">
        <f t="shared" si="139"/>
        <v>1.1223518743369043</v>
      </c>
      <c r="BU37" s="384">
        <f t="shared" si="139"/>
        <v>0.77931585711567863</v>
      </c>
      <c r="BV37" s="384">
        <f t="shared" si="139"/>
        <v>0.91790786766612109</v>
      </c>
      <c r="BW37" s="384">
        <f t="shared" si="139"/>
        <v>1.1738347407358873</v>
      </c>
      <c r="BX37" s="384">
        <f>BX27/AVERAGE(BW88:BX88)</f>
        <v>1.0930657737436145</v>
      </c>
      <c r="BY37" s="384">
        <f t="shared" si="139"/>
        <v>1.0351056929512852</v>
      </c>
      <c r="BZ37" s="384">
        <f t="shared" si="139"/>
        <v>1.0256097768506929</v>
      </c>
      <c r="CA37" s="385">
        <f t="shared" si="139"/>
        <v>0.86451187469281954</v>
      </c>
      <c r="CB37" s="385">
        <f t="shared" si="139"/>
        <v>0.73842406665080396</v>
      </c>
      <c r="CC37" s="385">
        <f t="shared" si="139"/>
        <v>0.64417035254558519</v>
      </c>
      <c r="CD37" s="385">
        <f t="shared" si="139"/>
        <v>0.57436176934636718</v>
      </c>
    </row>
    <row r="38" spans="1:82" s="386" customFormat="1" ht="13.5" customHeight="1">
      <c r="A38" s="386" t="s">
        <v>79</v>
      </c>
      <c r="B38" s="387">
        <f>B27/AVERAGE(B73:B73)</f>
        <v>2.9197684632645764E-2</v>
      </c>
      <c r="C38" s="387">
        <f t="shared" ref="C38:K38" si="140">C27/AVERAGE(B73:C73)</f>
        <v>3.1933412672502999E-2</v>
      </c>
      <c r="D38" s="387">
        <f t="shared" si="140"/>
        <v>3.4688399992853662E-2</v>
      </c>
      <c r="E38" s="387">
        <f t="shared" si="140"/>
        <v>2.9593850505726438E-2</v>
      </c>
      <c r="F38" s="387">
        <f t="shared" si="140"/>
        <v>2.711726380294889E-2</v>
      </c>
      <c r="G38" s="387">
        <f t="shared" si="140"/>
        <v>2.5496112470521162E-2</v>
      </c>
      <c r="H38" s="387">
        <f t="shared" si="140"/>
        <v>2.1892361197403707E-2</v>
      </c>
      <c r="I38" s="387">
        <f t="shared" si="140"/>
        <v>2.7564662198642367E-2</v>
      </c>
      <c r="J38" s="387">
        <f t="shared" si="140"/>
        <v>3.0418163631395257E-2</v>
      </c>
      <c r="K38" s="387">
        <f t="shared" si="140"/>
        <v>2.6182461796323699E-2</v>
      </c>
      <c r="L38" s="387">
        <f>L27/AVERAGE(K73:L73)</f>
        <v>2.1537716222098807E-2</v>
      </c>
      <c r="M38" s="387">
        <f>M27/AVERAGE(L73:M73)</f>
        <v>2.4580823335746897E-2</v>
      </c>
      <c r="N38" s="387">
        <f t="shared" ref="N38:AL38" si="141">N27/AVERAGE(M73:N73)</f>
        <v>2.7137996589735858E-2</v>
      </c>
      <c r="O38" s="387">
        <f t="shared" si="141"/>
        <v>3.019932751138317E-2</v>
      </c>
      <c r="P38" s="387">
        <f t="shared" si="141"/>
        <v>2.8823843090744421E-2</v>
      </c>
      <c r="Q38" s="387">
        <f t="shared" si="141"/>
        <v>3.4322786757133399E-2</v>
      </c>
      <c r="R38" s="387">
        <f t="shared" si="141"/>
        <v>3.3706245673646017E-2</v>
      </c>
      <c r="S38" s="387">
        <f t="shared" si="141"/>
        <v>3.5660408228576738E-2</v>
      </c>
      <c r="T38" s="387">
        <f t="shared" si="141"/>
        <v>2.5103286412474314E-2</v>
      </c>
      <c r="U38" s="387">
        <f t="shared" si="141"/>
        <v>2.872322358707461E-2</v>
      </c>
      <c r="V38" s="387">
        <f t="shared" si="141"/>
        <v>3.0639992055240175E-2</v>
      </c>
      <c r="W38" s="387">
        <f t="shared" si="141"/>
        <v>2.4156351304570115E-2</v>
      </c>
      <c r="X38" s="387">
        <f t="shared" si="141"/>
        <v>1.7506826994490261E-2</v>
      </c>
      <c r="Y38" s="387">
        <f t="shared" si="141"/>
        <v>1.5925928618536367E-2</v>
      </c>
      <c r="Z38" s="387">
        <f t="shared" si="141"/>
        <v>2.2211995114638082E-2</v>
      </c>
      <c r="AA38" s="387">
        <f t="shared" si="141"/>
        <v>2.4346061184698148E-2</v>
      </c>
      <c r="AB38" s="387">
        <f t="shared" si="141"/>
        <v>2.4399823507634935E-2</v>
      </c>
      <c r="AC38" s="387">
        <f t="shared" si="141"/>
        <v>2.622020599536596E-2</v>
      </c>
      <c r="AD38" s="387">
        <f t="shared" si="141"/>
        <v>2.9695671236077699E-2</v>
      </c>
      <c r="AE38" s="387">
        <f t="shared" si="141"/>
        <v>3.2523489802646251E-2</v>
      </c>
      <c r="AF38" s="387">
        <f t="shared" si="141"/>
        <v>3.051387277412413E-2</v>
      </c>
      <c r="AG38" s="387">
        <f t="shared" si="141"/>
        <v>3.5800409673517733E-2</v>
      </c>
      <c r="AH38" s="387">
        <f t="shared" si="141"/>
        <v>3.7724491650675457E-2</v>
      </c>
      <c r="AI38" s="387">
        <f t="shared" si="141"/>
        <v>3.9025996848745977E-2</v>
      </c>
      <c r="AJ38" s="387">
        <f t="shared" si="141"/>
        <v>3.4469176730982563E-2</v>
      </c>
      <c r="AK38" s="387">
        <f t="shared" si="141"/>
        <v>3.4100848982200595E-2</v>
      </c>
      <c r="AL38" s="387">
        <f t="shared" si="141"/>
        <v>3.6701960378538984E-2</v>
      </c>
      <c r="AM38" s="387">
        <f t="shared" ref="AM38" si="142">AM27/AVERAGE(AL73:AM73)</f>
        <v>3.8918770134621139E-2</v>
      </c>
      <c r="AN38" s="387">
        <f t="shared" ref="AN38:AO38" si="143">AN27/AVERAGE(AM73:AN73)</f>
        <v>3.5542648441229625E-2</v>
      </c>
      <c r="AO38" s="387">
        <f t="shared" si="143"/>
        <v>4.7586900799986953E-2</v>
      </c>
      <c r="AP38" s="388">
        <f t="shared" ref="AP38:AS38" si="144">AP27/AVERAGE(AO73:AP73)</f>
        <v>3.9579076848645742E-2</v>
      </c>
      <c r="AQ38" s="388">
        <f t="shared" si="144"/>
        <v>4.0313764717520198E-2</v>
      </c>
      <c r="AR38" s="388">
        <f t="shared" si="144"/>
        <v>3.6279705380949469E-2</v>
      </c>
      <c r="AS38" s="388">
        <f t="shared" si="144"/>
        <v>4.4933976667921489E-2</v>
      </c>
      <c r="AU38" s="388">
        <v>4.3019571236371672E-2</v>
      </c>
      <c r="AW38" s="387">
        <f>AW27/AVERAGE(A73:AW73)</f>
        <v>4.1931177015399917E-2</v>
      </c>
      <c r="AX38" s="387">
        <f t="shared" ref="AX38:CD38" si="145">AX27/AVERAGE(AW73:AX73)</f>
        <v>0.11481984883132001</v>
      </c>
      <c r="AY38" s="387">
        <f t="shared" si="145"/>
        <v>0.13723274024979759</v>
      </c>
      <c r="AZ38" s="387">
        <f t="shared" si="145"/>
        <v>0.13876788060599302</v>
      </c>
      <c r="BA38" s="387">
        <f t="shared" si="145"/>
        <v>0.118619085959902</v>
      </c>
      <c r="BB38" s="387">
        <f t="shared" si="145"/>
        <v>8.6120571015929723E-2</v>
      </c>
      <c r="BC38" s="387">
        <f t="shared" si="145"/>
        <v>7.8842084464096573E-2</v>
      </c>
      <c r="BD38" s="387">
        <f t="shared" si="145"/>
        <v>0.10659174618402341</v>
      </c>
      <c r="BE38" s="387">
        <f t="shared" si="145"/>
        <v>0.10115410488731257</v>
      </c>
      <c r="BF38" s="387">
        <f t="shared" si="145"/>
        <v>0.14303398206718801</v>
      </c>
      <c r="BG38" s="387">
        <f t="shared" si="145"/>
        <v>0.15722352796761371</v>
      </c>
      <c r="BH38" s="387">
        <f t="shared" si="145"/>
        <v>0.21272097662954018</v>
      </c>
      <c r="BI38" s="387">
        <f t="shared" si="145"/>
        <v>0.20524581350196794</v>
      </c>
      <c r="BJ38" s="387">
        <f t="shared" si="145"/>
        <v>0.19411692477921902</v>
      </c>
      <c r="BK38" s="387">
        <f t="shared" si="145"/>
        <v>0.15156319551564523</v>
      </c>
      <c r="BL38" s="387">
        <f t="shared" si="145"/>
        <v>0.14617402343506636</v>
      </c>
      <c r="BM38" s="387">
        <f t="shared" si="145"/>
        <v>0.15970870633139417</v>
      </c>
      <c r="BN38" s="387">
        <f t="shared" si="145"/>
        <v>0.11918553723589184</v>
      </c>
      <c r="BO38" s="387">
        <f t="shared" si="145"/>
        <v>0.13532621626939634</v>
      </c>
      <c r="BP38" s="387">
        <f t="shared" si="145"/>
        <v>0.12826337479444094</v>
      </c>
      <c r="BQ38" s="387" t="e">
        <f t="shared" si="145"/>
        <v>#REF!</v>
      </c>
      <c r="BR38" s="387" t="e">
        <f t="shared" si="145"/>
        <v>#REF!</v>
      </c>
      <c r="BS38" s="387" t="e">
        <f t="shared" si="145"/>
        <v>#REF!</v>
      </c>
      <c r="BT38" s="387" t="e">
        <f t="shared" ref="BT38:BZ38" si="146">BT27/AVERAGE(BS73:BT73)</f>
        <v>#REF!</v>
      </c>
      <c r="BU38" s="387">
        <f t="shared" si="146"/>
        <v>8.8028197345007678E-2</v>
      </c>
      <c r="BV38" s="387">
        <f t="shared" si="146"/>
        <v>9.6443067950654604E-2</v>
      </c>
      <c r="BW38" s="387">
        <f t="shared" si="146"/>
        <v>0.1305206543590024</v>
      </c>
      <c r="BX38" s="387">
        <f t="shared" si="146"/>
        <v>0.14771071225832558</v>
      </c>
      <c r="BY38" s="387">
        <f t="shared" si="146"/>
        <v>0.15507391387970293</v>
      </c>
      <c r="BZ38" s="387">
        <f t="shared" si="146"/>
        <v>0.17863121104518007</v>
      </c>
      <c r="CA38" s="388">
        <f t="shared" si="145"/>
        <v>0.17598298254837064</v>
      </c>
      <c r="CB38" s="388">
        <f t="shared" si="145"/>
        <v>0.16935836400727611</v>
      </c>
      <c r="CC38" s="388">
        <f t="shared" si="145"/>
        <v>0.16315273350590562</v>
      </c>
      <c r="CD38" s="388">
        <f t="shared" si="145"/>
        <v>0.15839218053545825</v>
      </c>
    </row>
    <row r="39" spans="1:82" s="386" customFormat="1" ht="13.5" customHeight="1">
      <c r="A39" s="386" t="s">
        <v>80</v>
      </c>
      <c r="B39" s="387"/>
      <c r="C39" s="387"/>
      <c r="D39" s="387"/>
      <c r="E39" s="387"/>
      <c r="F39" s="387"/>
      <c r="G39" s="387"/>
      <c r="H39" s="387"/>
      <c r="I39" s="387"/>
      <c r="J39" s="387"/>
      <c r="K39" s="387"/>
      <c r="L39" s="387"/>
      <c r="M39" s="387"/>
      <c r="N39" s="387"/>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7"/>
      <c r="AN39" s="387"/>
      <c r="AO39" s="387"/>
      <c r="AP39" s="388"/>
      <c r="AQ39" s="388"/>
      <c r="AR39" s="388"/>
      <c r="AS39" s="388"/>
      <c r="AU39" s="388"/>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4">
        <f>+Resumo!G37/AVERAGE(PROJ!BS94:BT94)</f>
        <v>0.4724720679247309</v>
      </c>
      <c r="BU39" s="384">
        <f>+Resumo!H37/AVERAGE(PROJ!BT94:BU94)</f>
        <v>0.35620917097938448</v>
      </c>
      <c r="BV39" s="384">
        <f>+Resumo!I37/AVERAGE(PROJ!BU94:BV94)</f>
        <v>0.36687443745415527</v>
      </c>
      <c r="BW39" s="384">
        <f>+Resumo!J37/AVERAGE(PROJ!BV94:BW94)</f>
        <v>0.49119914033373291</v>
      </c>
      <c r="BX39" s="384">
        <f>+Resumo!K37/AVERAGE(PROJ!BW94:BX94)</f>
        <v>0.52447156156564212</v>
      </c>
      <c r="BY39" s="384">
        <f>+Resumo!L37/AVERAGE(PROJ!BX94:BY94)</f>
        <v>0.48755109266282015</v>
      </c>
      <c r="BZ39" s="384">
        <f>+Resumo!M37/AVERAGE(PROJ!BY94:BZ94)</f>
        <v>0.49312107038394493</v>
      </c>
      <c r="CA39" s="385">
        <f>+Resumo!N37/AVERAGE(PROJ!BZ94:CA94)</f>
        <v>0.48915848613258439</v>
      </c>
      <c r="CB39" s="385">
        <f>+Resumo!O37/AVERAGE(PROJ!CA94:CB94)</f>
        <v>0.49042865084665832</v>
      </c>
      <c r="CC39" s="385">
        <f>+Resumo!P37/AVERAGE(PROJ!CB94:CC94)</f>
        <v>0.49002568393932261</v>
      </c>
      <c r="CD39" s="385">
        <f>+Resumo!Q37/AVERAGE(PROJ!CC94:CD94)</f>
        <v>0.48838835226296118</v>
      </c>
    </row>
    <row r="40" spans="1:82" ht="13.5" customHeight="1">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90"/>
      <c r="AQ40" s="290"/>
      <c r="AR40" s="290"/>
      <c r="AS40" s="290"/>
      <c r="AU40" s="290"/>
      <c r="AW40" s="246"/>
      <c r="AX40" s="246"/>
      <c r="AY40" s="246"/>
      <c r="AZ40" s="246"/>
      <c r="BA40" s="246"/>
      <c r="BB40" s="246"/>
      <c r="BC40" s="246"/>
      <c r="BD40" s="246"/>
      <c r="BE40" s="246"/>
      <c r="BF40" s="246"/>
      <c r="BG40" s="246"/>
      <c r="BH40" s="246"/>
      <c r="BI40" s="246"/>
      <c r="BJ40" s="246"/>
      <c r="BK40" s="246"/>
      <c r="BL40" s="246"/>
      <c r="BM40" s="246"/>
      <c r="BN40" s="246"/>
      <c r="BO40" s="246"/>
      <c r="BP40" s="246"/>
      <c r="BQ40" s="246"/>
      <c r="BR40" s="246"/>
      <c r="BS40" s="246"/>
      <c r="BT40" s="246"/>
      <c r="BU40" s="246"/>
      <c r="BV40" s="246"/>
      <c r="BW40" s="246"/>
      <c r="BX40" s="246"/>
      <c r="BY40" s="246"/>
      <c r="BZ40" s="246"/>
      <c r="CA40" s="290"/>
      <c r="CB40" s="290"/>
      <c r="CC40" s="290"/>
      <c r="CD40" s="290"/>
    </row>
    <row r="41" spans="1:82" s="319" customFormat="1" ht="13.5" customHeight="1">
      <c r="A41" s="319" t="s">
        <v>81</v>
      </c>
      <c r="B41" s="255">
        <f t="shared" ref="B41:AH41" si="147">B146</f>
        <v>0.99237702267675654</v>
      </c>
      <c r="C41" s="255">
        <f t="shared" si="147"/>
        <v>1.2848130562943276</v>
      </c>
      <c r="D41" s="255">
        <f t="shared" si="147"/>
        <v>1.3820962749532084</v>
      </c>
      <c r="E41" s="255">
        <f t="shared" si="147"/>
        <v>1.6879789424159062</v>
      </c>
      <c r="F41" s="255">
        <f t="shared" si="147"/>
        <v>1.6186801031697318</v>
      </c>
      <c r="G41" s="255">
        <f t="shared" si="147"/>
        <v>1.7865751722273531</v>
      </c>
      <c r="H41" s="255">
        <f t="shared" si="147"/>
        <v>2.0913983262737172</v>
      </c>
      <c r="I41" s="255">
        <f t="shared" si="147"/>
        <v>2.1451729790175786</v>
      </c>
      <c r="J41" s="255">
        <f t="shared" si="147"/>
        <v>1.7165301914483557</v>
      </c>
      <c r="K41" s="255">
        <f t="shared" si="147"/>
        <v>1.920251177781148</v>
      </c>
      <c r="L41" s="255">
        <f t="shared" si="147"/>
        <v>2.1934283475588794</v>
      </c>
      <c r="M41" s="255">
        <f t="shared" si="147"/>
        <v>2.2945812733067279</v>
      </c>
      <c r="N41" s="255">
        <f t="shared" si="147"/>
        <v>1.7516025653555043</v>
      </c>
      <c r="O41" s="255">
        <f t="shared" si="147"/>
        <v>1.6143561405199707</v>
      </c>
      <c r="P41" s="255">
        <f t="shared" si="147"/>
        <v>1.7005244851983636</v>
      </c>
      <c r="Q41" s="255">
        <f t="shared" si="147"/>
        <v>1.4717955374479348</v>
      </c>
      <c r="R41" s="255">
        <f t="shared" si="147"/>
        <v>1.4010185932981254</v>
      </c>
      <c r="S41" s="255">
        <f t="shared" si="147"/>
        <v>1.2926385050759357</v>
      </c>
      <c r="T41" s="255">
        <f t="shared" si="147"/>
        <v>1.3864090493863306</v>
      </c>
      <c r="U41" s="255">
        <f t="shared" si="147"/>
        <v>1.2831115352736187</v>
      </c>
      <c r="V41" s="255">
        <f t="shared" si="147"/>
        <v>1.0919412710068581</v>
      </c>
      <c r="W41" s="255">
        <f t="shared" si="147"/>
        <v>1.3860483367260685</v>
      </c>
      <c r="X41" s="255">
        <f t="shared" si="147"/>
        <v>1.6735921741861983</v>
      </c>
      <c r="Y41" s="255">
        <f t="shared" si="147"/>
        <v>2.0445915610259267</v>
      </c>
      <c r="Z41" s="255">
        <f t="shared" si="147"/>
        <v>1.6428429519534349</v>
      </c>
      <c r="AA41" s="255">
        <f t="shared" si="147"/>
        <v>1.5149692353338156</v>
      </c>
      <c r="AB41" s="255">
        <f t="shared" si="147"/>
        <v>1.5100886907098816</v>
      </c>
      <c r="AC41" s="255">
        <f t="shared" si="147"/>
        <v>1.4850704981282634</v>
      </c>
      <c r="AD41" s="255">
        <f t="shared" si="147"/>
        <v>1.2356540086972689</v>
      </c>
      <c r="AE41" s="255">
        <f t="shared" si="147"/>
        <v>1.0395812969947555</v>
      </c>
      <c r="AF41" s="255">
        <f t="shared" si="147"/>
        <v>0.94888395733868924</v>
      </c>
      <c r="AG41" s="255">
        <f t="shared" si="147"/>
        <v>0.85893336039685231</v>
      </c>
      <c r="AH41" s="255">
        <f t="shared" si="147"/>
        <v>0.72688089263502187</v>
      </c>
      <c r="AI41" s="255">
        <f t="shared" ref="AI41:AL41" si="148">AI146</f>
        <v>0.65368985105331689</v>
      </c>
      <c r="AJ41" s="255">
        <f t="shared" si="148"/>
        <v>0.80576695068115811</v>
      </c>
      <c r="AK41" s="255">
        <f t="shared" si="148"/>
        <v>0.90628677761693877</v>
      </c>
      <c r="AL41" s="255">
        <f t="shared" si="148"/>
        <v>0.81953722862158918</v>
      </c>
      <c r="AM41" s="255">
        <f t="shared" ref="AM41:AN41" si="149">AM146</f>
        <v>0.86372033425528216</v>
      </c>
      <c r="AN41" s="255">
        <f t="shared" si="149"/>
        <v>0.92321087928464962</v>
      </c>
      <c r="AO41" s="255">
        <f t="shared" ref="AO41" si="150">AO146</f>
        <v>0.91044457173604088</v>
      </c>
      <c r="AP41" s="292">
        <f t="shared" ref="AP41:AS41" si="151">AP146</f>
        <v>0.34667387513806169</v>
      </c>
      <c r="AQ41" s="292">
        <f t="shared" si="151"/>
        <v>0.47103696149272323</v>
      </c>
      <c r="AR41" s="292">
        <f t="shared" si="151"/>
        <v>0.63127847940284598</v>
      </c>
      <c r="AS41" s="292">
        <f t="shared" si="151"/>
        <v>0.91355950448128176</v>
      </c>
      <c r="AU41" s="292">
        <v>1.1460194406348054</v>
      </c>
      <c r="AW41" s="255">
        <f t="shared" ref="AW41:BO41" si="152">AW146</f>
        <v>1.4071559236108158E-2</v>
      </c>
      <c r="AX41" s="255">
        <f t="shared" si="152"/>
        <v>0.19053288915348265</v>
      </c>
      <c r="AY41" s="255">
        <f t="shared" si="152"/>
        <v>0.19369545308367087</v>
      </c>
      <c r="AZ41" s="255">
        <f t="shared" si="152"/>
        <v>0.33805964895516666</v>
      </c>
      <c r="BA41" s="255">
        <f t="shared" si="152"/>
        <v>0.50429583468648198</v>
      </c>
      <c r="BB41" s="255">
        <f t="shared" si="152"/>
        <v>0.60937219707692392</v>
      </c>
      <c r="BC41" s="255">
        <f t="shared" si="152"/>
        <v>0.77084831184101898</v>
      </c>
      <c r="BD41" s="255">
        <f t="shared" si="152"/>
        <v>0.62504188820138007</v>
      </c>
      <c r="BE41" s="255">
        <f t="shared" si="152"/>
        <v>0.49823919143574485</v>
      </c>
      <c r="BF41" s="255">
        <f t="shared" si="152"/>
        <v>0.48786331332176119</v>
      </c>
      <c r="BG41" s="255">
        <f t="shared" si="152"/>
        <v>0.68570904539962019</v>
      </c>
      <c r="BH41" s="255">
        <f t="shared" si="152"/>
        <v>0.72587627827228385</v>
      </c>
      <c r="BI41" s="255">
        <f t="shared" si="152"/>
        <v>0.11759680750847906</v>
      </c>
      <c r="BJ41" s="255">
        <f t="shared" si="152"/>
        <v>0.62015902584157523</v>
      </c>
      <c r="BK41" s="255">
        <f t="shared" si="152"/>
        <v>1.0159056845527386</v>
      </c>
      <c r="BL41" s="255">
        <f t="shared" si="152"/>
        <v>0.80086623676949853</v>
      </c>
      <c r="BM41" s="255">
        <f t="shared" si="152"/>
        <v>0.54872595524846113</v>
      </c>
      <c r="BN41" s="255">
        <f t="shared" si="152"/>
        <v>1.0736326704650196</v>
      </c>
      <c r="BO41" s="255">
        <f t="shared" si="152"/>
        <v>1.0569856583039337</v>
      </c>
      <c r="BP41" s="255">
        <f t="shared" ref="BP41:CD41" si="153">BP146</f>
        <v>1.6440475421934326</v>
      </c>
      <c r="BQ41" s="255">
        <f t="shared" si="153"/>
        <v>2.531899901391931</v>
      </c>
      <c r="BR41" s="255">
        <f t="shared" si="153"/>
        <v>2.4907053792261067</v>
      </c>
      <c r="BS41" s="255">
        <f t="shared" si="153"/>
        <v>1.8332872286990769</v>
      </c>
      <c r="BT41" s="255">
        <f t="shared" si="153"/>
        <v>1.2735722992244178</v>
      </c>
      <c r="BU41" s="255">
        <f t="shared" si="153"/>
        <v>1.6613056878949941</v>
      </c>
      <c r="BV41" s="255">
        <f t="shared" si="153"/>
        <v>1.613198359486578</v>
      </c>
      <c r="BW41" s="255">
        <f t="shared" si="153"/>
        <v>0.9158609677412165</v>
      </c>
      <c r="BX41" s="255">
        <f>BX146</f>
        <v>0.85243029935280878</v>
      </c>
      <c r="BY41" s="255">
        <f>BY146</f>
        <v>0.95872459368830665</v>
      </c>
      <c r="BZ41" s="255">
        <f>BZ146</f>
        <v>0.95079014395798644</v>
      </c>
      <c r="CA41" s="292">
        <f t="shared" si="153"/>
        <v>0.84033768789658148</v>
      </c>
      <c r="CB41" s="292">
        <f t="shared" si="153"/>
        <v>0.72852063191098348</v>
      </c>
      <c r="CC41" s="292">
        <f t="shared" si="153"/>
        <v>0.61926662655981268</v>
      </c>
      <c r="CD41" s="292">
        <f t="shared" si="153"/>
        <v>0.50816470464708063</v>
      </c>
    </row>
    <row r="42" spans="1:82" ht="13.5" customHeight="1">
      <c r="A42" s="260" t="s">
        <v>82</v>
      </c>
      <c r="B42" s="253">
        <f t="shared" ref="B42:AI42" si="154">B88/B30</f>
        <v>0.97605371749177383</v>
      </c>
      <c r="C42" s="253">
        <f t="shared" si="154"/>
        <v>1.4203139185946063</v>
      </c>
      <c r="D42" s="253">
        <f t="shared" si="154"/>
        <v>1.8572378915653676</v>
      </c>
      <c r="E42" s="253">
        <f t="shared" si="154"/>
        <v>2.2666230350385073</v>
      </c>
      <c r="F42" s="253">
        <f t="shared" si="154"/>
        <v>0.95806001558543286</v>
      </c>
      <c r="G42" s="253">
        <f t="shared" si="154"/>
        <v>1.3099893287761288</v>
      </c>
      <c r="H42" s="253">
        <f t="shared" si="154"/>
        <v>1.5609306785368364</v>
      </c>
      <c r="I42" s="253">
        <f t="shared" si="154"/>
        <v>1.9741757678937495</v>
      </c>
      <c r="J42" s="253">
        <f t="shared" si="154"/>
        <v>0.68911308255741144</v>
      </c>
      <c r="K42" s="253">
        <f t="shared" si="154"/>
        <v>1.0446382610702603</v>
      </c>
      <c r="L42" s="253">
        <f t="shared" si="154"/>
        <v>1.3223941402922335</v>
      </c>
      <c r="M42" s="253">
        <f t="shared" si="154"/>
        <v>1.8025622606916458</v>
      </c>
      <c r="N42" s="253">
        <f t="shared" si="154"/>
        <v>0.5355096968101728</v>
      </c>
      <c r="O42" s="253">
        <f t="shared" si="154"/>
        <v>0.9535889283783241</v>
      </c>
      <c r="P42" s="253">
        <f t="shared" si="154"/>
        <v>1.2944988738811747</v>
      </c>
      <c r="Q42" s="253">
        <f t="shared" si="154"/>
        <v>1.7130247927669071</v>
      </c>
      <c r="R42" s="253">
        <f t="shared" si="154"/>
        <v>0.6902447120390337</v>
      </c>
      <c r="S42" s="253">
        <f t="shared" si="154"/>
        <v>1.1435859850395407</v>
      </c>
      <c r="T42" s="253">
        <f t="shared" si="154"/>
        <v>1.6765270676954955</v>
      </c>
      <c r="U42" s="253">
        <f t="shared" si="154"/>
        <v>1.8830966128264741</v>
      </c>
      <c r="V42" s="253">
        <f t="shared" si="154"/>
        <v>0.85414621780966338</v>
      </c>
      <c r="W42" s="253">
        <f t="shared" si="154"/>
        <v>1.3028092677569556</v>
      </c>
      <c r="X42" s="253">
        <f t="shared" si="154"/>
        <v>1.6498016812039942</v>
      </c>
      <c r="Y42" s="253">
        <f t="shared" si="154"/>
        <v>1.8553501341358578</v>
      </c>
      <c r="Z42" s="253">
        <f t="shared" si="154"/>
        <v>0.51375751556274174</v>
      </c>
      <c r="AA42" s="253">
        <f t="shared" si="154"/>
        <v>0.97522441337442789</v>
      </c>
      <c r="AB42" s="253">
        <f t="shared" si="154"/>
        <v>1.1982494265675874</v>
      </c>
      <c r="AC42" s="253">
        <f t="shared" si="154"/>
        <v>1.6348725915980808</v>
      </c>
      <c r="AD42" s="253">
        <f t="shared" si="154"/>
        <v>0.45667786843187047</v>
      </c>
      <c r="AE42" s="253">
        <f t="shared" si="154"/>
        <v>1.0348321246601413</v>
      </c>
      <c r="AF42" s="253">
        <f t="shared" si="154"/>
        <v>1.6816416317668001</v>
      </c>
      <c r="AG42" s="253">
        <f t="shared" si="154"/>
        <v>2.2506857117320309</v>
      </c>
      <c r="AH42" s="253">
        <f t="shared" si="154"/>
        <v>1.038080765062346</v>
      </c>
      <c r="AI42" s="253">
        <f t="shared" si="154"/>
        <v>1.7929955292288828</v>
      </c>
      <c r="AJ42" s="253">
        <f t="shared" ref="AJ42:AL42" si="155">AJ88/AJ30</f>
        <v>2.1296513439403322</v>
      </c>
      <c r="AK42" s="253">
        <f t="shared" si="155"/>
        <v>2.4336216899441374</v>
      </c>
      <c r="AL42" s="253">
        <f t="shared" si="155"/>
        <v>0.88262751184652677</v>
      </c>
      <c r="AM42" s="253">
        <f t="shared" ref="AM42:AN42" si="156">AM88/AM30</f>
        <v>1.3813524687116596</v>
      </c>
      <c r="AN42" s="253">
        <f t="shared" si="156"/>
        <v>1.764305097002596</v>
      </c>
      <c r="AO42" s="253">
        <f t="shared" ref="AO42" si="157">AO88/AO30</f>
        <v>2.4114344967656884</v>
      </c>
      <c r="AP42" s="288">
        <f t="shared" ref="AP42:AS42" si="158">AP88/AP30</f>
        <v>3.0858611803464435</v>
      </c>
      <c r="AQ42" s="288">
        <f t="shared" si="158"/>
        <v>3.2544388195338092</v>
      </c>
      <c r="AR42" s="288">
        <f t="shared" si="158"/>
        <v>3.3274349720407352</v>
      </c>
      <c r="AS42" s="288">
        <f t="shared" si="158"/>
        <v>2.9215599444421798</v>
      </c>
      <c r="AU42" s="288">
        <v>1.3737469250587726</v>
      </c>
      <c r="AW42" s="253">
        <f t="shared" ref="AW42:CD42" si="159">AW88/AW30</f>
        <v>9.5411653593583026</v>
      </c>
      <c r="AX42" s="253">
        <f t="shared" si="159"/>
        <v>10.400726424280593</v>
      </c>
      <c r="AY42" s="253">
        <f t="shared" si="159"/>
        <v>10.718543981679975</v>
      </c>
      <c r="AZ42" s="253">
        <f t="shared" si="159"/>
        <v>9.0288523703683072</v>
      </c>
      <c r="BA42" s="253">
        <f t="shared" si="159"/>
        <v>9.3833000185999378</v>
      </c>
      <c r="BB42" s="253">
        <f t="shared" si="159"/>
        <v>9.7570549253042103</v>
      </c>
      <c r="BC42" s="253">
        <f t="shared" si="159"/>
        <v>10.107182986838181</v>
      </c>
      <c r="BD42" s="253">
        <f t="shared" si="159"/>
        <v>10.5506381334202</v>
      </c>
      <c r="BE42" s="253">
        <f t="shared" si="159"/>
        <v>10.325940100466378</v>
      </c>
      <c r="BF42" s="253">
        <f t="shared" si="159"/>
        <v>8.2235093367957912</v>
      </c>
      <c r="BG42" s="253">
        <f t="shared" si="159"/>
        <v>8.3846890636807956</v>
      </c>
      <c r="BH42" s="253">
        <f t="shared" si="159"/>
        <v>7.9196666320849332</v>
      </c>
      <c r="BI42" s="253">
        <f t="shared" si="159"/>
        <v>8.0167809039571107</v>
      </c>
      <c r="BJ42" s="253">
        <f t="shared" si="159"/>
        <v>7.7867575169025516</v>
      </c>
      <c r="BK42" s="253">
        <f t="shared" si="159"/>
        <v>2.7513298167392399</v>
      </c>
      <c r="BL42" s="253">
        <f t="shared" si="159"/>
        <v>2.7460513629481156</v>
      </c>
      <c r="BM42" s="253">
        <f t="shared" si="159"/>
        <v>2.7458763614047723</v>
      </c>
      <c r="BN42" s="253">
        <f t="shared" si="159"/>
        <v>2.2373083826682154</v>
      </c>
      <c r="BO42" s="253">
        <f t="shared" si="159"/>
        <v>2.1765389083017546</v>
      </c>
      <c r="BP42" s="253">
        <f t="shared" si="159"/>
        <v>2.2666230350385073</v>
      </c>
      <c r="BQ42" s="253">
        <f t="shared" si="159"/>
        <v>1.9741757678937495</v>
      </c>
      <c r="BR42" s="253">
        <f t="shared" si="159"/>
        <v>1.8025622606916458</v>
      </c>
      <c r="BS42" s="253">
        <f t="shared" si="159"/>
        <v>1.7130247927669071</v>
      </c>
      <c r="BT42" s="253">
        <f t="shared" si="159"/>
        <v>1.8830966128264741</v>
      </c>
      <c r="BU42" s="253">
        <f t="shared" si="159"/>
        <v>1.8553501341358578</v>
      </c>
      <c r="BV42" s="253">
        <f t="shared" si="159"/>
        <v>1.6348725915980808</v>
      </c>
      <c r="BW42" s="253">
        <f t="shared" si="159"/>
        <v>2.2506857117320309</v>
      </c>
      <c r="BX42" s="253">
        <f t="shared" si="159"/>
        <v>2.4336216899441374</v>
      </c>
      <c r="BY42" s="253">
        <f>BY88/BY30</f>
        <v>2.4114344967656884</v>
      </c>
      <c r="BZ42" s="253">
        <f>BZ88/BZ30</f>
        <v>2.9215599444421798</v>
      </c>
      <c r="CA42" s="288">
        <f t="shared" si="159"/>
        <v>3.4784283244979015</v>
      </c>
      <c r="CB42" s="288">
        <f t="shared" si="159"/>
        <v>4.041864637725876</v>
      </c>
      <c r="CC42" s="288">
        <f t="shared" si="159"/>
        <v>4.6059225851458336</v>
      </c>
      <c r="CD42" s="288">
        <f t="shared" si="159"/>
        <v>5.1912135500870331</v>
      </c>
    </row>
    <row r="43" spans="1:82" ht="13.5" customHeight="1">
      <c r="A43" s="260" t="s">
        <v>83</v>
      </c>
      <c r="B43" s="246">
        <f t="shared" ref="B43:P43" si="160">B27/B3</f>
        <v>0.127148796268513</v>
      </c>
      <c r="C43" s="246">
        <f t="shared" si="160"/>
        <v>0.13339462254537884</v>
      </c>
      <c r="D43" s="246">
        <f t="shared" si="160"/>
        <v>0.15056143977772932</v>
      </c>
      <c r="E43" s="246">
        <f t="shared" si="160"/>
        <v>0.12715911280983341</v>
      </c>
      <c r="F43" s="246">
        <f t="shared" si="160"/>
        <v>0.11488558626675512</v>
      </c>
      <c r="G43" s="246">
        <f t="shared" si="160"/>
        <v>0.10549438080014328</v>
      </c>
      <c r="H43" s="246">
        <f t="shared" si="160"/>
        <v>9.2905179684512576E-2</v>
      </c>
      <c r="I43" s="246">
        <f t="shared" si="160"/>
        <v>0.11392419154698299</v>
      </c>
      <c r="J43" s="246">
        <f t="shared" si="160"/>
        <v>0.11821608254355276</v>
      </c>
      <c r="K43" s="246">
        <f t="shared" si="160"/>
        <v>0.10337648100343404</v>
      </c>
      <c r="L43" s="246">
        <f t="shared" si="160"/>
        <v>9.1664241689400808E-2</v>
      </c>
      <c r="M43" s="246">
        <f t="shared" si="160"/>
        <v>9.7324366169924542E-2</v>
      </c>
      <c r="N43" s="246">
        <f t="shared" si="160"/>
        <v>0.1046333757036499</v>
      </c>
      <c r="O43" s="246">
        <f t="shared" si="160"/>
        <v>0.11581306244262216</v>
      </c>
      <c r="P43" s="246">
        <f t="shared" si="160"/>
        <v>0.11859894230769227</v>
      </c>
      <c r="Q43" s="246">
        <f t="shared" ref="Q43:AH43" si="161">Q27/Q3</f>
        <v>0.13414859735209703</v>
      </c>
      <c r="R43" s="246">
        <f t="shared" si="161"/>
        <v>0.13067395651713554</v>
      </c>
      <c r="S43" s="246">
        <f t="shared" si="161"/>
        <v>0.1409709401415663</v>
      </c>
      <c r="T43" s="246">
        <f t="shared" si="161"/>
        <v>0.12146855413553739</v>
      </c>
      <c r="U43" s="246">
        <f t="shared" si="161"/>
        <v>0.13912510228891342</v>
      </c>
      <c r="V43" s="246">
        <f t="shared" si="161"/>
        <v>0.13231487146851934</v>
      </c>
      <c r="W43" s="246">
        <f t="shared" si="161"/>
        <v>0.10426550674966119</v>
      </c>
      <c r="X43" s="246">
        <f t="shared" si="161"/>
        <v>7.7485941275568571E-2</v>
      </c>
      <c r="Y43" s="246">
        <f t="shared" si="161"/>
        <v>6.7451777737805599E-2</v>
      </c>
      <c r="Z43" s="246">
        <f t="shared" si="161"/>
        <v>8.6789963416573926E-2</v>
      </c>
      <c r="AA43" s="246">
        <f t="shared" si="161"/>
        <v>9.1154051453600657E-2</v>
      </c>
      <c r="AB43" s="246">
        <f t="shared" si="161"/>
        <v>9.7309989057370608E-2</v>
      </c>
      <c r="AC43" s="246">
        <f t="shared" si="161"/>
        <v>0.11120607471758798</v>
      </c>
      <c r="AD43" s="246">
        <f t="shared" si="161"/>
        <v>0.11900693778138607</v>
      </c>
      <c r="AE43" s="246">
        <f t="shared" si="161"/>
        <v>0.13120297166297512</v>
      </c>
      <c r="AF43" s="246">
        <f t="shared" si="161"/>
        <v>0.13184290560414827</v>
      </c>
      <c r="AG43" s="246">
        <f t="shared" si="161"/>
        <v>0.14436055160322134</v>
      </c>
      <c r="AH43" s="246">
        <f t="shared" si="161"/>
        <v>0.15095191099770494</v>
      </c>
      <c r="AI43" s="246">
        <f t="shared" ref="AI43:AL43" si="162">AI27/AI3</f>
        <v>0.15164486778504407</v>
      </c>
      <c r="AJ43" s="246">
        <f t="shared" si="162"/>
        <v>0.138684878851836</v>
      </c>
      <c r="AK43" s="246">
        <f t="shared" ref="AK43" si="163">AK27/AK3</f>
        <v>0.13009770738964962</v>
      </c>
      <c r="AL43" s="246">
        <f t="shared" si="162"/>
        <v>0.13296530036868362</v>
      </c>
      <c r="AM43" s="246">
        <f t="shared" ref="AM43:AN43" si="164">AM27/AM3</f>
        <v>0.13263077469793888</v>
      </c>
      <c r="AN43" s="246">
        <f t="shared" si="164"/>
        <v>0.12511938851603285</v>
      </c>
      <c r="AO43" s="246">
        <f t="shared" ref="AO43" si="165">AO27/AO3</f>
        <v>0.15616733534040966</v>
      </c>
      <c r="AP43" s="277">
        <f t="shared" ref="AP43:AS43" si="166">AP27/AP3</f>
        <v>0.13990985333733608</v>
      </c>
      <c r="AQ43" s="277">
        <f t="shared" si="166"/>
        <v>0.14851353138807497</v>
      </c>
      <c r="AR43" s="277">
        <f t="shared" si="166"/>
        <v>0.13489651817863457</v>
      </c>
      <c r="AS43" s="277">
        <f t="shared" si="166"/>
        <v>0.1485094584124742</v>
      </c>
      <c r="AU43" s="277">
        <v>0.13741396719828491</v>
      </c>
      <c r="AW43" s="246">
        <f t="shared" ref="AW43:BR43" si="167">AW27/AW3</f>
        <v>0.18963395670747837</v>
      </c>
      <c r="AX43" s="246">
        <f t="shared" si="167"/>
        <v>0.15320650761457175</v>
      </c>
      <c r="AY43" s="246">
        <f t="shared" si="167"/>
        <v>0.185228286654194</v>
      </c>
      <c r="AZ43" s="246">
        <f t="shared" si="167"/>
        <v>0.17705229362769914</v>
      </c>
      <c r="BA43" s="246">
        <f t="shared" si="167"/>
        <v>0.1624959902980404</v>
      </c>
      <c r="BB43" s="246">
        <f t="shared" si="167"/>
        <v>0.12021205215692803</v>
      </c>
      <c r="BC43" s="246">
        <f t="shared" si="167"/>
        <v>0.10879506512479516</v>
      </c>
      <c r="BD43" s="246">
        <f t="shared" si="167"/>
        <v>0.13356210688174783</v>
      </c>
      <c r="BE43" s="246">
        <f t="shared" si="167"/>
        <v>0.11566082039150599</v>
      </c>
      <c r="BF43" s="246">
        <f t="shared" si="167"/>
        <v>0.16881907575165539</v>
      </c>
      <c r="BG43" s="246">
        <f t="shared" si="167"/>
        <v>0.16779194154923743</v>
      </c>
      <c r="BH43" s="246">
        <f t="shared" si="167"/>
        <v>0.2199093404765205</v>
      </c>
      <c r="BI43" s="246">
        <f t="shared" si="167"/>
        <v>0.21360897024302314</v>
      </c>
      <c r="BJ43" s="246">
        <f t="shared" si="167"/>
        <v>0.20047728478734142</v>
      </c>
      <c r="BK43" s="246">
        <f t="shared" si="167"/>
        <v>0.15546855661913872</v>
      </c>
      <c r="BL43" s="246">
        <f t="shared" si="167"/>
        <v>0.13958708749259868</v>
      </c>
      <c r="BM43" s="246">
        <f t="shared" si="167"/>
        <v>0.1549225009262904</v>
      </c>
      <c r="BN43" s="246">
        <f t="shared" si="167"/>
        <v>0.12176232174601626</v>
      </c>
      <c r="BO43" s="246">
        <f t="shared" si="167"/>
        <v>0.13441652321100325</v>
      </c>
      <c r="BP43" s="246">
        <f t="shared" si="167"/>
        <v>0.13442303267541666</v>
      </c>
      <c r="BQ43" s="246">
        <f t="shared" si="167"/>
        <v>0.1076819054879339</v>
      </c>
      <c r="BR43" s="246">
        <f t="shared" si="167"/>
        <v>0.10271869670565126</v>
      </c>
      <c r="BS43" s="246">
        <f t="shared" ref="BS43:BY43" si="168">BS27/BS3</f>
        <v>0.11820110784300725</v>
      </c>
      <c r="BT43" s="246">
        <f t="shared" si="168"/>
        <v>0.13330154372657205</v>
      </c>
      <c r="BU43" s="246">
        <f t="shared" si="168"/>
        <v>9.5830416380035782E-2</v>
      </c>
      <c r="BV43" s="246">
        <f t="shared" si="168"/>
        <v>9.6646008894429716E-2</v>
      </c>
      <c r="BW43" s="246">
        <f t="shared" si="168"/>
        <v>0.13155566616005462</v>
      </c>
      <c r="BX43" s="246">
        <f t="shared" si="168"/>
        <v>0.14294221843724905</v>
      </c>
      <c r="BY43" s="246">
        <f t="shared" si="168"/>
        <v>0.13687081670133494</v>
      </c>
      <c r="BZ43" s="246">
        <f t="shared" ref="BZ43" si="169">BZ27/BZ3</f>
        <v>0.14306910559708103</v>
      </c>
      <c r="CA43" s="277">
        <f>CA27/CA3</f>
        <v>0.14049120241482788</v>
      </c>
      <c r="CB43" s="277">
        <f>CB27/CB3</f>
        <v>0.13824181240033573</v>
      </c>
      <c r="CC43" s="277">
        <f>CC27/CC3</f>
        <v>0.13595787664080602</v>
      </c>
      <c r="CD43" s="277">
        <f>CD27/CD3</f>
        <v>0.13464280192777908</v>
      </c>
    </row>
    <row r="44" spans="1:82" ht="13.5" customHeight="1">
      <c r="A44" s="321" t="s">
        <v>84</v>
      </c>
      <c r="B44" s="244">
        <f t="shared" ref="B44:I44" si="170">B$2</f>
        <v>42459</v>
      </c>
      <c r="C44" s="244">
        <f t="shared" si="170"/>
        <v>42551</v>
      </c>
      <c r="D44" s="244">
        <f t="shared" si="170"/>
        <v>42643</v>
      </c>
      <c r="E44" s="244">
        <f t="shared" si="170"/>
        <v>42735</v>
      </c>
      <c r="F44" s="244">
        <f t="shared" si="170"/>
        <v>42825</v>
      </c>
      <c r="G44" s="244">
        <f t="shared" si="170"/>
        <v>42916</v>
      </c>
      <c r="H44" s="244">
        <f t="shared" si="170"/>
        <v>43008</v>
      </c>
      <c r="I44" s="244">
        <f t="shared" si="170"/>
        <v>43100</v>
      </c>
      <c r="J44" s="244">
        <f t="shared" ref="J44:AS44" si="171">J$2</f>
        <v>43190</v>
      </c>
      <c r="K44" s="244">
        <f t="shared" si="171"/>
        <v>43281</v>
      </c>
      <c r="L44" s="244">
        <f t="shared" si="171"/>
        <v>43373</v>
      </c>
      <c r="M44" s="244">
        <f t="shared" si="171"/>
        <v>43465</v>
      </c>
      <c r="N44" s="244">
        <f t="shared" si="171"/>
        <v>43555</v>
      </c>
      <c r="O44" s="244">
        <f t="shared" si="171"/>
        <v>43646</v>
      </c>
      <c r="P44" s="244">
        <f t="shared" si="171"/>
        <v>43738</v>
      </c>
      <c r="Q44" s="244">
        <f t="shared" si="171"/>
        <v>43830</v>
      </c>
      <c r="R44" s="244">
        <f t="shared" si="171"/>
        <v>43921</v>
      </c>
      <c r="S44" s="244">
        <f t="shared" si="171"/>
        <v>44012</v>
      </c>
      <c r="T44" s="244">
        <f t="shared" si="171"/>
        <v>44104</v>
      </c>
      <c r="U44" s="244">
        <f t="shared" si="171"/>
        <v>44196</v>
      </c>
      <c r="V44" s="244">
        <f t="shared" si="171"/>
        <v>44286</v>
      </c>
      <c r="W44" s="244">
        <f t="shared" si="171"/>
        <v>44377</v>
      </c>
      <c r="X44" s="244">
        <f t="shared" si="171"/>
        <v>44469</v>
      </c>
      <c r="Y44" s="244">
        <f t="shared" si="171"/>
        <v>44561</v>
      </c>
      <c r="Z44" s="244">
        <f t="shared" si="171"/>
        <v>44651</v>
      </c>
      <c r="AA44" s="244">
        <f t="shared" si="171"/>
        <v>44742</v>
      </c>
      <c r="AB44" s="244">
        <f t="shared" si="171"/>
        <v>44834</v>
      </c>
      <c r="AC44" s="244">
        <f t="shared" si="171"/>
        <v>44926</v>
      </c>
      <c r="AD44" s="244">
        <f t="shared" si="171"/>
        <v>45016</v>
      </c>
      <c r="AE44" s="244">
        <f t="shared" si="171"/>
        <v>45107</v>
      </c>
      <c r="AF44" s="244">
        <f t="shared" si="171"/>
        <v>45199</v>
      </c>
      <c r="AG44" s="244">
        <f t="shared" si="171"/>
        <v>45291</v>
      </c>
      <c r="AH44" s="244">
        <f t="shared" si="171"/>
        <v>45382</v>
      </c>
      <c r="AI44" s="244">
        <f t="shared" si="171"/>
        <v>45473</v>
      </c>
      <c r="AJ44" s="244">
        <f t="shared" si="171"/>
        <v>45565</v>
      </c>
      <c r="AK44" s="244">
        <f t="shared" si="171"/>
        <v>45657</v>
      </c>
      <c r="AL44" s="244">
        <f t="shared" si="171"/>
        <v>45747</v>
      </c>
      <c r="AM44" s="244">
        <f t="shared" si="171"/>
        <v>45838</v>
      </c>
      <c r="AN44" s="244">
        <f t="shared" si="171"/>
        <v>45930</v>
      </c>
      <c r="AO44" s="244">
        <f t="shared" si="171"/>
        <v>46022</v>
      </c>
      <c r="AP44" s="244">
        <f t="shared" si="171"/>
        <v>46112</v>
      </c>
      <c r="AQ44" s="244">
        <f t="shared" si="171"/>
        <v>46203</v>
      </c>
      <c r="AR44" s="244">
        <f t="shared" si="171"/>
        <v>46295</v>
      </c>
      <c r="AS44" s="244">
        <f t="shared" si="171"/>
        <v>46387</v>
      </c>
      <c r="AU44" s="244">
        <v>46022</v>
      </c>
      <c r="AW44" s="244">
        <f t="shared" ref="AW44:CD44" si="172">AW$2</f>
        <v>35795</v>
      </c>
      <c r="AX44" s="244">
        <f t="shared" si="172"/>
        <v>36160</v>
      </c>
      <c r="AY44" s="244">
        <f t="shared" si="172"/>
        <v>36525</v>
      </c>
      <c r="AZ44" s="244">
        <f t="shared" si="172"/>
        <v>36891</v>
      </c>
      <c r="BA44" s="244">
        <f t="shared" si="172"/>
        <v>37256</v>
      </c>
      <c r="BB44" s="244">
        <f t="shared" si="172"/>
        <v>37621</v>
      </c>
      <c r="BC44" s="244">
        <f t="shared" si="172"/>
        <v>37986</v>
      </c>
      <c r="BD44" s="244">
        <f t="shared" si="172"/>
        <v>38352</v>
      </c>
      <c r="BE44" s="244">
        <f t="shared" si="172"/>
        <v>38717</v>
      </c>
      <c r="BF44" s="244">
        <f t="shared" si="172"/>
        <v>39082</v>
      </c>
      <c r="BG44" s="244">
        <f t="shared" si="172"/>
        <v>39447</v>
      </c>
      <c r="BH44" s="244">
        <f t="shared" si="172"/>
        <v>39813</v>
      </c>
      <c r="BI44" s="244">
        <f t="shared" si="172"/>
        <v>40178</v>
      </c>
      <c r="BJ44" s="244">
        <f t="shared" si="172"/>
        <v>40543</v>
      </c>
      <c r="BK44" s="244">
        <f t="shared" si="172"/>
        <v>40908</v>
      </c>
      <c r="BL44" s="244">
        <f t="shared" si="172"/>
        <v>41274</v>
      </c>
      <c r="BM44" s="244">
        <f t="shared" si="172"/>
        <v>41639</v>
      </c>
      <c r="BN44" s="244">
        <f t="shared" si="172"/>
        <v>42004</v>
      </c>
      <c r="BO44" s="244">
        <f t="shared" si="172"/>
        <v>42369</v>
      </c>
      <c r="BP44" s="244">
        <f t="shared" si="172"/>
        <v>42735</v>
      </c>
      <c r="BQ44" s="244">
        <f t="shared" si="172"/>
        <v>43100</v>
      </c>
      <c r="BR44" s="244">
        <f t="shared" si="172"/>
        <v>43465</v>
      </c>
      <c r="BS44" s="244">
        <f t="shared" si="172"/>
        <v>43830</v>
      </c>
      <c r="BT44" s="244">
        <f t="shared" si="172"/>
        <v>44196</v>
      </c>
      <c r="BU44" s="244">
        <f t="shared" si="172"/>
        <v>44561</v>
      </c>
      <c r="BV44" s="244">
        <f t="shared" si="172"/>
        <v>44926</v>
      </c>
      <c r="BW44" s="244">
        <f t="shared" si="172"/>
        <v>45291</v>
      </c>
      <c r="BX44" s="244">
        <f t="shared" si="172"/>
        <v>45657</v>
      </c>
      <c r="BY44" s="244">
        <f t="shared" si="172"/>
        <v>46022</v>
      </c>
      <c r="BZ44" s="244">
        <f t="shared" si="172"/>
        <v>46387</v>
      </c>
      <c r="CA44" s="244">
        <f t="shared" si="172"/>
        <v>46752</v>
      </c>
      <c r="CB44" s="244">
        <f t="shared" si="172"/>
        <v>47118</v>
      </c>
      <c r="CC44" s="244">
        <f t="shared" si="172"/>
        <v>47483</v>
      </c>
      <c r="CD44" s="244">
        <f t="shared" si="172"/>
        <v>47848</v>
      </c>
    </row>
    <row r="45" spans="1:82" ht="13.5" customHeight="1">
      <c r="A45" s="260" t="s">
        <v>85</v>
      </c>
      <c r="B45" s="256"/>
      <c r="C45" s="256"/>
      <c r="D45" s="256"/>
      <c r="E45" s="256"/>
      <c r="F45" s="256"/>
      <c r="G45" s="256"/>
      <c r="H45" s="256"/>
      <c r="I45" s="256"/>
      <c r="J45" s="256"/>
      <c r="K45" s="256"/>
      <c r="L45" s="256"/>
      <c r="M45" s="256"/>
      <c r="N45" s="256"/>
      <c r="O45" s="256"/>
      <c r="P45" s="256"/>
      <c r="Q45" s="256"/>
      <c r="R45" s="256"/>
      <c r="S45" s="256"/>
      <c r="T45" s="256"/>
      <c r="U45" s="256"/>
      <c r="V45" s="256"/>
      <c r="W45" s="256"/>
      <c r="X45" s="256"/>
      <c r="Y45" s="256"/>
      <c r="Z45" s="256"/>
      <c r="AA45" s="256"/>
      <c r="AB45" s="256"/>
      <c r="AC45" s="256"/>
      <c r="AD45" s="256"/>
      <c r="AE45" s="256"/>
      <c r="AF45" s="256"/>
      <c r="AG45" s="256"/>
      <c r="AH45" s="256"/>
      <c r="AI45" s="256"/>
      <c r="AJ45" s="256"/>
      <c r="AK45" s="256"/>
      <c r="AL45" s="256"/>
      <c r="AM45" s="256"/>
      <c r="AN45" s="256"/>
      <c r="AO45" s="256"/>
      <c r="AP45" s="334"/>
      <c r="AQ45" s="334"/>
      <c r="AR45" s="334"/>
      <c r="AS45" s="334"/>
      <c r="AU45" s="334"/>
      <c r="AW45" s="256"/>
      <c r="AX45" s="256"/>
      <c r="AY45" s="256"/>
      <c r="AZ45" s="256"/>
      <c r="BA45" s="256"/>
      <c r="BB45" s="256"/>
      <c r="BC45" s="256"/>
      <c r="BD45" s="256" t="e">
        <f>3*#REF!</f>
        <v>#REF!</v>
      </c>
      <c r="BE45" s="256" t="e">
        <f>3*#REF!</f>
        <v>#REF!</v>
      </c>
      <c r="BF45" s="256" t="e">
        <f>3*#REF!</f>
        <v>#REF!</v>
      </c>
      <c r="BG45" s="256" t="e">
        <f>3*#REF!</f>
        <v>#REF!</v>
      </c>
      <c r="BH45" s="256" t="e">
        <f>3*#REF!</f>
        <v>#REF!</v>
      </c>
      <c r="BI45" s="256" t="e">
        <f>3*#REF!</f>
        <v>#REF!</v>
      </c>
      <c r="BJ45" s="256" t="e">
        <f>3*#REF!</f>
        <v>#REF!</v>
      </c>
      <c r="BK45" s="256" t="e">
        <f>+#REF!</f>
        <v>#REF!</v>
      </c>
      <c r="BL45" s="256" t="e">
        <f>+#REF!</f>
        <v>#REF!</v>
      </c>
      <c r="BM45" s="256" t="e">
        <f>+#REF!</f>
        <v>#REF!</v>
      </c>
      <c r="BN45" s="256" t="e">
        <f>+#REF!</f>
        <v>#REF!</v>
      </c>
      <c r="BO45" s="256" t="e">
        <f>+#REF!</f>
        <v>#REF!</v>
      </c>
      <c r="BP45" s="256">
        <f ca="1">+AVERAGEIFS(Notes!$T5:$T1075,Notes!$R5:$R1075,"="&amp;PROJ!BP$1)</f>
        <v>28.229811320754717</v>
      </c>
      <c r="BQ45" s="256">
        <f ca="1">+AVERAGEIFS(Notes!$T5:$T1075,Notes!$R5:$R1075,"="&amp;PROJ!BQ$1)</f>
        <v>25.858076923076929</v>
      </c>
      <c r="BR45" s="256">
        <f ca="1">+AVERAGEIFS(Notes!$T5:$T1075,Notes!$R5:$R1075,"="&amp;PROJ!BR$1)</f>
        <v>24.394807692307698</v>
      </c>
      <c r="BS45" s="256">
        <f ca="1">+AVERAGEIFS(Notes!$T5:$T1075,Notes!$R5:$R1075,"="&amp;PROJ!BS$1)</f>
        <v>27.903269230769233</v>
      </c>
      <c r="BT45" s="256">
        <f ca="1">+AVERAGEIFS(Notes!$T5:$T1075,Notes!$R5:$R1075,"="&amp;PROJ!BT$1)</f>
        <v>28.557884615384605</v>
      </c>
      <c r="BU45" s="256">
        <f ca="1">+AVERAGEIFS(Notes!$T5:$T1075,Notes!$R5:$R1075,"="&amp;PROJ!BU$1)</f>
        <v>28.982264150943404</v>
      </c>
      <c r="BV45" s="256">
        <f ca="1">+AVERAGEIFS(Notes!$T5:$T1075,Notes!$R5:$R1075,"="&amp;PROJ!BV$1)</f>
        <v>26.253653846153853</v>
      </c>
      <c r="BW45" s="256">
        <f ca="1">+AVERAGEIFS(Notes!$T5:$T1075,Notes!$R5:$R1075,"="&amp;PROJ!BW$1)</f>
        <v>35.221538461538472</v>
      </c>
      <c r="BX45" s="293">
        <v>32</v>
      </c>
      <c r="BY45" s="293">
        <f t="shared" ref="BY45:CD45" si="173">+BX45</f>
        <v>32</v>
      </c>
      <c r="BZ45" s="293">
        <f t="shared" si="173"/>
        <v>32</v>
      </c>
      <c r="CA45" s="293">
        <f t="shared" si="173"/>
        <v>32</v>
      </c>
      <c r="CB45" s="293">
        <f t="shared" si="173"/>
        <v>32</v>
      </c>
      <c r="CC45" s="293">
        <f t="shared" si="173"/>
        <v>32</v>
      </c>
      <c r="CD45" s="293">
        <f t="shared" si="173"/>
        <v>32</v>
      </c>
    </row>
    <row r="46" spans="1:82" ht="13.5" customHeight="1">
      <c r="A46" s="260" t="s">
        <v>86</v>
      </c>
      <c r="B46" s="257"/>
      <c r="C46" s="257"/>
      <c r="D46" s="257"/>
      <c r="E46" s="257"/>
      <c r="F46" s="257"/>
      <c r="G46" s="257"/>
      <c r="H46" s="257"/>
      <c r="I46" s="257"/>
      <c r="J46" s="257"/>
      <c r="K46" s="257"/>
      <c r="L46" s="257"/>
      <c r="M46" s="257"/>
      <c r="N46" s="257"/>
      <c r="O46" s="257"/>
      <c r="P46" s="257"/>
      <c r="Q46" s="257"/>
      <c r="R46" s="257"/>
      <c r="S46" s="257"/>
      <c r="T46" s="257"/>
      <c r="U46" s="257"/>
      <c r="V46" s="257"/>
      <c r="W46" s="257"/>
      <c r="X46" s="257"/>
      <c r="Y46" s="257"/>
      <c r="Z46" s="257"/>
      <c r="AA46" s="257"/>
      <c r="AB46" s="257"/>
      <c r="AC46" s="257"/>
      <c r="AD46" s="257"/>
      <c r="AE46" s="257"/>
      <c r="AF46" s="257"/>
      <c r="AG46" s="257"/>
      <c r="AH46" s="257"/>
      <c r="AI46" s="257"/>
      <c r="AJ46" s="257"/>
      <c r="AK46" s="257"/>
      <c r="AL46" s="257"/>
      <c r="AM46" s="257"/>
      <c r="AN46" s="257"/>
      <c r="AO46" s="257"/>
      <c r="AP46" s="287"/>
      <c r="AQ46" s="287"/>
      <c r="AR46" s="287"/>
      <c r="AS46" s="287"/>
      <c r="AU46" s="287"/>
      <c r="AW46" s="257">
        <f t="shared" ref="AW46:BP46" si="174">+AW45*AW30</f>
        <v>0</v>
      </c>
      <c r="AX46" s="257">
        <f t="shared" si="174"/>
        <v>0</v>
      </c>
      <c r="AY46" s="257">
        <f t="shared" si="174"/>
        <v>0</v>
      </c>
      <c r="AZ46" s="257">
        <f t="shared" si="174"/>
        <v>0</v>
      </c>
      <c r="BA46" s="257">
        <f t="shared" si="174"/>
        <v>0</v>
      </c>
      <c r="BB46" s="257">
        <f t="shared" si="174"/>
        <v>0</v>
      </c>
      <c r="BC46" s="257">
        <f t="shared" si="174"/>
        <v>0</v>
      </c>
      <c r="BD46" s="257" t="e">
        <f t="shared" si="174"/>
        <v>#REF!</v>
      </c>
      <c r="BE46" s="257" t="e">
        <f t="shared" si="174"/>
        <v>#REF!</v>
      </c>
      <c r="BF46" s="257" t="e">
        <f t="shared" si="174"/>
        <v>#REF!</v>
      </c>
      <c r="BG46" s="257" t="e">
        <f t="shared" si="174"/>
        <v>#REF!</v>
      </c>
      <c r="BH46" s="257" t="e">
        <f t="shared" si="174"/>
        <v>#REF!</v>
      </c>
      <c r="BI46" s="257" t="e">
        <f t="shared" si="174"/>
        <v>#REF!</v>
      </c>
      <c r="BJ46" s="257" t="e">
        <f t="shared" si="174"/>
        <v>#REF!</v>
      </c>
      <c r="BK46" s="257" t="e">
        <f t="shared" si="174"/>
        <v>#REF!</v>
      </c>
      <c r="BL46" s="257" t="e">
        <f t="shared" si="174"/>
        <v>#REF!</v>
      </c>
      <c r="BM46" s="257" t="e">
        <f t="shared" si="174"/>
        <v>#REF!</v>
      </c>
      <c r="BN46" s="257" t="e">
        <f t="shared" si="174"/>
        <v>#REF!</v>
      </c>
      <c r="BO46" s="257" t="e">
        <f t="shared" si="174"/>
        <v>#REF!</v>
      </c>
      <c r="BP46" s="257">
        <f t="shared" ca="1" si="174"/>
        <v>87172.923383396235</v>
      </c>
      <c r="BQ46" s="257">
        <f t="shared" ref="BQ46:BX46" ca="1" si="175">+BQ45*BQ30</f>
        <v>79770.408958461558</v>
      </c>
      <c r="BR46" s="257">
        <f t="shared" ca="1" si="175"/>
        <v>75256.322883846165</v>
      </c>
      <c r="BS46" s="257">
        <f t="shared" ca="1" si="175"/>
        <v>86079.688154615389</v>
      </c>
      <c r="BT46" s="257">
        <f t="shared" ca="1" si="175"/>
        <v>88099.13210230766</v>
      </c>
      <c r="BU46" s="257">
        <f t="shared" ca="1" si="175"/>
        <v>89408.314111698128</v>
      </c>
      <c r="BV46" s="257">
        <f t="shared" ca="1" si="175"/>
        <v>80733.466758915791</v>
      </c>
      <c r="BW46" s="257">
        <f t="shared" ca="1" si="175"/>
        <v>108310.90107478773</v>
      </c>
      <c r="BX46" s="257">
        <f t="shared" si="175"/>
        <v>97394.477119999996</v>
      </c>
      <c r="BY46" s="257">
        <f t="shared" ref="BY46:CD46" si="176">+BY45*BY30</f>
        <v>96027.157407999999</v>
      </c>
      <c r="BZ46" s="257">
        <f t="shared" si="176"/>
        <v>93962.641278967756</v>
      </c>
      <c r="CA46" s="287">
        <f t="shared" si="176"/>
        <v>93962.641278967756</v>
      </c>
      <c r="CB46" s="287">
        <f t="shared" si="176"/>
        <v>93962.641278967756</v>
      </c>
      <c r="CC46" s="287">
        <f t="shared" si="176"/>
        <v>93962.641278967756</v>
      </c>
      <c r="CD46" s="287">
        <f t="shared" si="176"/>
        <v>93962.641278967756</v>
      </c>
    </row>
    <row r="47" spans="1:82" ht="13.5" customHeight="1">
      <c r="A47" s="260" t="s">
        <v>87</v>
      </c>
      <c r="B47" s="257"/>
      <c r="C47" s="257"/>
      <c r="D47" s="257"/>
      <c r="E47" s="257"/>
      <c r="F47" s="257"/>
      <c r="G47" s="257"/>
      <c r="H47" s="257"/>
      <c r="I47" s="257"/>
      <c r="J47" s="257"/>
      <c r="K47" s="257"/>
      <c r="L47" s="257"/>
      <c r="M47" s="257"/>
      <c r="N47" s="257"/>
      <c r="O47" s="257"/>
      <c r="P47" s="257"/>
      <c r="Q47" s="257"/>
      <c r="R47" s="257"/>
      <c r="S47" s="257"/>
      <c r="T47" s="257"/>
      <c r="U47" s="257"/>
      <c r="V47" s="257"/>
      <c r="W47" s="257"/>
      <c r="X47" s="257"/>
      <c r="Y47" s="257"/>
      <c r="Z47" s="257"/>
      <c r="AA47" s="257"/>
      <c r="AB47" s="257"/>
      <c r="AC47" s="257"/>
      <c r="AD47" s="257"/>
      <c r="AE47" s="257"/>
      <c r="AF47" s="257"/>
      <c r="AG47" s="257"/>
      <c r="AH47" s="257"/>
      <c r="AI47" s="257"/>
      <c r="AJ47" s="257"/>
      <c r="AK47" s="257"/>
      <c r="AL47" s="257"/>
      <c r="AM47" s="257"/>
      <c r="AN47" s="257"/>
      <c r="AO47" s="257"/>
      <c r="AP47" s="287"/>
      <c r="AQ47" s="287"/>
      <c r="AR47" s="287"/>
      <c r="AS47" s="287"/>
      <c r="AU47" s="287"/>
      <c r="AW47" s="257" t="e">
        <f>AW46/FAT!AW3</f>
        <v>#DIV/0!</v>
      </c>
      <c r="AX47" s="257">
        <f>AX46/FAT!AX3</f>
        <v>0</v>
      </c>
      <c r="AY47" s="257">
        <f>AY46/FAT!AY3</f>
        <v>0</v>
      </c>
      <c r="AZ47" s="257">
        <f>AZ46/FAT!AZ3</f>
        <v>0</v>
      </c>
      <c r="BA47" s="257">
        <f>BA46/FAT!BA3</f>
        <v>0</v>
      </c>
      <c r="BB47" s="257">
        <f>BB46/FAT!BB3</f>
        <v>0</v>
      </c>
      <c r="BC47" s="257">
        <f>BC46/FAT!BC3</f>
        <v>0</v>
      </c>
      <c r="BD47" s="257" t="e">
        <f>BD46/FAT!BD3</f>
        <v>#REF!</v>
      </c>
      <c r="BE47" s="257" t="e">
        <f>BE46/FAT!BE3</f>
        <v>#REF!</v>
      </c>
      <c r="BF47" s="257" t="e">
        <f>BF46/FAT!BF3</f>
        <v>#REF!</v>
      </c>
      <c r="BG47" s="257" t="e">
        <f>BG46/FAT!BG3</f>
        <v>#REF!</v>
      </c>
      <c r="BH47" s="257" t="e">
        <f>BH46/FAT!BH3</f>
        <v>#REF!</v>
      </c>
      <c r="BI47" s="257" t="e">
        <f>BI46/FAT!BI3</f>
        <v>#REF!</v>
      </c>
      <c r="BJ47" s="257" t="e">
        <f>BJ46/FAT!BJ3</f>
        <v>#REF!</v>
      </c>
      <c r="BK47" s="257" t="e">
        <f>BK46/FAT!BK3</f>
        <v>#REF!</v>
      </c>
      <c r="BL47" s="257" t="e">
        <f>BL46/FAT!BL3</f>
        <v>#REF!</v>
      </c>
      <c r="BM47" s="257" t="e">
        <f>BM46/FAT!BM3</f>
        <v>#REF!</v>
      </c>
      <c r="BN47" s="257" t="e">
        <f>BN46/FAT!BN3</f>
        <v>#REF!</v>
      </c>
      <c r="BO47" s="257" t="e">
        <f>BO46/FAT!BO3</f>
        <v>#REF!</v>
      </c>
      <c r="BP47" s="257">
        <f ca="1">BP46/FAT!BP3</f>
        <v>4595.9463701253071</v>
      </c>
      <c r="BQ47" s="257">
        <f ca="1">BQ46/FAT!BQ3</f>
        <v>3950.3795335268755</v>
      </c>
      <c r="BR47" s="257">
        <f ca="1">BR46/FAT!BR3</f>
        <v>3828.9224909994136</v>
      </c>
      <c r="BS47" s="257">
        <f ca="1">BS46/FAT!BS3</f>
        <v>4462.7581871335115</v>
      </c>
      <c r="BT47" s="257">
        <f ca="1">BT46/FAT!BT3</f>
        <v>4536.4221180978584</v>
      </c>
      <c r="BU47" s="257">
        <f ca="1">BU46/FAT!BU3</f>
        <v>4421.3716406608755</v>
      </c>
      <c r="BV47" s="257">
        <f ca="1">BV46/FAT!BV3</f>
        <v>4033.7186390426909</v>
      </c>
      <c r="BW47" s="257">
        <f ca="1">BW46/FAT!BW3</f>
        <v>5939.4164315425141</v>
      </c>
      <c r="BX47" s="257">
        <f>BX46/FAT!BX3</f>
        <v>5153.2560011852102</v>
      </c>
      <c r="BY47" s="257">
        <f>BY46/FAT!BY3</f>
        <v>4945.3669561634806</v>
      </c>
      <c r="BZ47" s="257">
        <f>BZ46/FAT!BZ3</f>
        <v>5198.5552517390306</v>
      </c>
      <c r="CA47" s="287">
        <f>CA46/FAT!CA3</f>
        <v>5141.6186256610772</v>
      </c>
      <c r="CB47" s="287">
        <f>CB46/FAT!CB3</f>
        <v>5067.1024136949754</v>
      </c>
      <c r="CC47" s="287">
        <f>CC46/FAT!CC3</f>
        <v>4993.6661468298316</v>
      </c>
      <c r="CD47" s="287">
        <f>CD46/FAT!CD3</f>
        <v>4921.2941736873709</v>
      </c>
    </row>
    <row r="48" spans="1:82" ht="13.5" customHeight="1">
      <c r="A48" s="260" t="s">
        <v>15</v>
      </c>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94"/>
      <c r="AQ48" s="294"/>
      <c r="AR48" s="294"/>
      <c r="AS48" s="294"/>
      <c r="AU48" s="294"/>
      <c r="AW48" s="258">
        <f t="shared" ref="AW48:BO48" si="177">AW145</f>
        <v>50.023000000000138</v>
      </c>
      <c r="AX48" s="258">
        <f t="shared" si="177"/>
        <v>857.39399999999978</v>
      </c>
      <c r="AY48" s="258">
        <f t="shared" si="177"/>
        <v>1044.3900000000003</v>
      </c>
      <c r="AZ48" s="258">
        <f t="shared" si="177"/>
        <v>2002.4249999999997</v>
      </c>
      <c r="BA48" s="258">
        <f t="shared" si="177"/>
        <v>2933.3280000000009</v>
      </c>
      <c r="BB48" s="258">
        <f t="shared" si="177"/>
        <v>3526.0529999999999</v>
      </c>
      <c r="BC48" s="258">
        <f t="shared" si="177"/>
        <v>4352.9650000000001</v>
      </c>
      <c r="BD48" s="258">
        <f t="shared" si="177"/>
        <v>3790.1040000000003</v>
      </c>
      <c r="BE48" s="258">
        <f t="shared" si="177"/>
        <v>3312.9010000000007</v>
      </c>
      <c r="BF48" s="258">
        <f t="shared" si="177"/>
        <v>3292.0669999999996</v>
      </c>
      <c r="BG48" s="258">
        <f t="shared" si="177"/>
        <v>4576.1040000000003</v>
      </c>
      <c r="BH48" s="258">
        <f t="shared" si="177"/>
        <v>5158.1319999999996</v>
      </c>
      <c r="BI48" s="258">
        <f t="shared" si="177"/>
        <v>928.63599999999951</v>
      </c>
      <c r="BJ48" s="258">
        <f t="shared" si="177"/>
        <v>5005.0789999999997</v>
      </c>
      <c r="BK48" s="258">
        <f t="shared" si="177"/>
        <v>7239.7330000000002</v>
      </c>
      <c r="BL48" s="258">
        <f t="shared" si="177"/>
        <v>6513.9040000000005</v>
      </c>
      <c r="BM48" s="258">
        <f t="shared" si="177"/>
        <v>4787.5949999999993</v>
      </c>
      <c r="BN48" s="258">
        <f t="shared" si="177"/>
        <v>8037.2699999999995</v>
      </c>
      <c r="BO48" s="258">
        <f t="shared" si="177"/>
        <v>9304.5010000000002</v>
      </c>
      <c r="BP48" s="258">
        <f t="shared" ref="BP48:CD48" si="178">BP145</f>
        <v>15814.634200000006</v>
      </c>
      <c r="BQ48" s="258">
        <f t="shared" si="178"/>
        <v>18630.793000000001</v>
      </c>
      <c r="BR48" s="258">
        <f t="shared" si="178"/>
        <v>19641.064999999999</v>
      </c>
      <c r="BS48" s="258">
        <f t="shared" si="178"/>
        <v>17336.938999999998</v>
      </c>
      <c r="BT48" s="258">
        <f t="shared" si="178"/>
        <v>15907.714</v>
      </c>
      <c r="BU48" s="258">
        <f t="shared" si="178"/>
        <v>17086.529000000002</v>
      </c>
      <c r="BV48" s="258">
        <f t="shared" si="178"/>
        <v>17598.026000000002</v>
      </c>
      <c r="BW48" s="258">
        <f t="shared" si="178"/>
        <v>12745.852999999999</v>
      </c>
      <c r="BX48" s="258">
        <f t="shared" si="178"/>
        <v>12696.968999999999</v>
      </c>
      <c r="BY48" s="258">
        <f>BY145</f>
        <v>13522.865999999996</v>
      </c>
      <c r="BZ48" s="258">
        <f>BZ145</f>
        <v>14169.331570695842</v>
      </c>
      <c r="CA48" s="294">
        <f t="shared" si="178"/>
        <v>12483.529222614949</v>
      </c>
      <c r="CB48" s="294">
        <f t="shared" si="178"/>
        <v>10838.082468636574</v>
      </c>
      <c r="CC48" s="294">
        <f t="shared" si="178"/>
        <v>9221.1718556404121</v>
      </c>
      <c r="CD48" s="294">
        <f t="shared" si="178"/>
        <v>7569.5518712978537</v>
      </c>
    </row>
    <row r="49" spans="1:990 1025:2040 2075:3055 3090:4070 4105:5120 5155:6135 6170:7150 7185:8165 8200:9215 9250:10230 10265:11245 11280:12260 12295:13310 13345:14325 14360:15340 15375:16355" ht="13.5" customHeight="1">
      <c r="A49" s="260" t="s">
        <v>88</v>
      </c>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95"/>
      <c r="AQ49" s="295"/>
      <c r="AR49" s="295"/>
      <c r="AS49" s="295"/>
      <c r="AU49" s="295"/>
      <c r="AW49" s="259">
        <f t="shared" ref="AW49:BP49" si="179">AW46/AW27</f>
        <v>0</v>
      </c>
      <c r="AX49" s="259">
        <f t="shared" si="179"/>
        <v>0</v>
      </c>
      <c r="AY49" s="259">
        <f t="shared" si="179"/>
        <v>0</v>
      </c>
      <c r="AZ49" s="259">
        <f t="shared" si="179"/>
        <v>0</v>
      </c>
      <c r="BA49" s="259">
        <f t="shared" si="179"/>
        <v>0</v>
      </c>
      <c r="BB49" s="259">
        <f t="shared" si="179"/>
        <v>0</v>
      </c>
      <c r="BC49" s="259">
        <f t="shared" si="179"/>
        <v>0</v>
      </c>
      <c r="BD49" s="259" t="e">
        <f t="shared" si="179"/>
        <v>#REF!</v>
      </c>
      <c r="BE49" s="259" t="e">
        <f t="shared" si="179"/>
        <v>#REF!</v>
      </c>
      <c r="BF49" s="259" t="e">
        <f t="shared" si="179"/>
        <v>#REF!</v>
      </c>
      <c r="BG49" s="259" t="e">
        <f t="shared" si="179"/>
        <v>#REF!</v>
      </c>
      <c r="BH49" s="259" t="e">
        <f t="shared" si="179"/>
        <v>#REF!</v>
      </c>
      <c r="BI49" s="259" t="e">
        <f t="shared" si="179"/>
        <v>#REF!</v>
      </c>
      <c r="BJ49" s="259" t="e">
        <f t="shared" si="179"/>
        <v>#REF!</v>
      </c>
      <c r="BK49" s="259" t="e">
        <f t="shared" si="179"/>
        <v>#REF!</v>
      </c>
      <c r="BL49" s="259" t="e">
        <f t="shared" si="179"/>
        <v>#REF!</v>
      </c>
      <c r="BM49" s="259" t="e">
        <f t="shared" si="179"/>
        <v>#REF!</v>
      </c>
      <c r="BN49" s="259" t="e">
        <f t="shared" si="179"/>
        <v>#REF!</v>
      </c>
      <c r="BO49" s="259" t="e">
        <f t="shared" si="179"/>
        <v>#REF!</v>
      </c>
      <c r="BP49" s="259">
        <f t="shared" ca="1" si="179"/>
        <v>18.185405514141625</v>
      </c>
      <c r="BQ49" s="259">
        <f t="shared" ref="BQ49:BX49" ca="1" si="180">BQ46/BQ27</f>
        <v>19.615566614038411</v>
      </c>
      <c r="BR49" s="259">
        <f t="shared" ca="1" si="180"/>
        <v>17.857685583033781</v>
      </c>
      <c r="BS49" s="259">
        <f t="shared" ca="1" si="180"/>
        <v>16.740969539535193</v>
      </c>
      <c r="BT49" s="259">
        <f t="shared" ca="1" si="180"/>
        <v>14.151179796334665</v>
      </c>
      <c r="BU49" s="259">
        <f t="shared" ca="1" si="180"/>
        <v>19.895625352524441</v>
      </c>
      <c r="BV49" s="259">
        <f t="shared" ca="1" si="180"/>
        <v>16.361851701659965</v>
      </c>
      <c r="BW49" s="259">
        <f t="shared" ca="1" si="180"/>
        <v>15.44464494435392</v>
      </c>
      <c r="BX49" s="259">
        <f t="shared" si="180"/>
        <v>12.437418406898306</v>
      </c>
      <c r="BY49" s="259">
        <f t="shared" ref="BY49:CD49" si="181">BY46/BY27</f>
        <v>12.670723680057598</v>
      </c>
      <c r="BZ49" s="259">
        <f t="shared" si="181"/>
        <v>11.585993277063739</v>
      </c>
      <c r="CA49" s="295">
        <f t="shared" si="181"/>
        <v>11.567242304644978</v>
      </c>
      <c r="CB49" s="295">
        <f t="shared" si="181"/>
        <v>11.524958543310088</v>
      </c>
      <c r="CC49" s="295">
        <f t="shared" si="181"/>
        <v>11.488788798808688</v>
      </c>
      <c r="CD49" s="295">
        <f t="shared" si="181"/>
        <v>11.373530759532235</v>
      </c>
    </row>
    <row r="50" spans="1:990 1025:2040 2075:3055 3090:4070 4105:5120 5155:6135 6170:7150 7185:8165 8200:9215 9250:10230 10265:11245 11280:12260 12295:13310 13345:14325 14360:15340 15375:16355" ht="13.5" customHeight="1">
      <c r="A50" s="260" t="s">
        <v>18</v>
      </c>
      <c r="B50" s="259"/>
      <c r="C50" s="259"/>
      <c r="D50" s="259"/>
      <c r="E50" s="259"/>
      <c r="F50" s="259"/>
      <c r="G50" s="259"/>
      <c r="H50" s="259"/>
      <c r="I50" s="259"/>
      <c r="J50" s="259"/>
      <c r="K50" s="259"/>
      <c r="L50" s="259"/>
      <c r="M50" s="259"/>
      <c r="N50" s="259"/>
      <c r="O50" s="259"/>
      <c r="P50" s="259"/>
      <c r="Q50" s="259"/>
      <c r="R50" s="259"/>
      <c r="S50" s="259"/>
      <c r="T50" s="259"/>
      <c r="U50" s="259"/>
      <c r="V50" s="259"/>
      <c r="W50" s="259"/>
      <c r="X50" s="259"/>
      <c r="Y50" s="259"/>
      <c r="Z50" s="259"/>
      <c r="AA50" s="259"/>
      <c r="AB50" s="259"/>
      <c r="AC50" s="259"/>
      <c r="AD50" s="259"/>
      <c r="AE50" s="259"/>
      <c r="AF50" s="259"/>
      <c r="AG50" s="259"/>
      <c r="AH50" s="259"/>
      <c r="AI50" s="259"/>
      <c r="AJ50" s="259"/>
      <c r="AK50" s="259"/>
      <c r="AL50" s="259"/>
      <c r="AM50" s="259"/>
      <c r="AN50" s="259"/>
      <c r="AO50" s="259"/>
      <c r="AP50" s="295"/>
      <c r="AQ50" s="295"/>
      <c r="AR50" s="295"/>
      <c r="AS50" s="295"/>
      <c r="AU50" s="295"/>
      <c r="AW50" s="259">
        <f t="shared" ref="AW50:CD50" si="182">AW46/AW88</f>
        <v>0</v>
      </c>
      <c r="AX50" s="259">
        <f t="shared" si="182"/>
        <v>0</v>
      </c>
      <c r="AY50" s="259">
        <f t="shared" si="182"/>
        <v>0</v>
      </c>
      <c r="AZ50" s="259">
        <f t="shared" si="182"/>
        <v>0</v>
      </c>
      <c r="BA50" s="259">
        <f t="shared" si="182"/>
        <v>0</v>
      </c>
      <c r="BB50" s="259">
        <f t="shared" si="182"/>
        <v>0</v>
      </c>
      <c r="BC50" s="259">
        <f t="shared" si="182"/>
        <v>0</v>
      </c>
      <c r="BD50" s="259" t="e">
        <f t="shared" si="182"/>
        <v>#REF!</v>
      </c>
      <c r="BE50" s="259" t="e">
        <f t="shared" si="182"/>
        <v>#REF!</v>
      </c>
      <c r="BF50" s="259" t="e">
        <f t="shared" si="182"/>
        <v>#REF!</v>
      </c>
      <c r="BG50" s="259" t="e">
        <f t="shared" si="182"/>
        <v>#REF!</v>
      </c>
      <c r="BH50" s="259" t="e">
        <f t="shared" si="182"/>
        <v>#REF!</v>
      </c>
      <c r="BI50" s="259" t="e">
        <f t="shared" si="182"/>
        <v>#REF!</v>
      </c>
      <c r="BJ50" s="259" t="e">
        <f t="shared" si="182"/>
        <v>#REF!</v>
      </c>
      <c r="BK50" s="259" t="e">
        <f t="shared" si="182"/>
        <v>#REF!</v>
      </c>
      <c r="BL50" s="259" t="e">
        <f t="shared" si="182"/>
        <v>#REF!</v>
      </c>
      <c r="BM50" s="259" t="e">
        <f t="shared" si="182"/>
        <v>#REF!</v>
      </c>
      <c r="BN50" s="259" t="e">
        <f t="shared" si="182"/>
        <v>#REF!</v>
      </c>
      <c r="BO50" s="259" t="e">
        <f t="shared" si="182"/>
        <v>#REF!</v>
      </c>
      <c r="BP50" s="259">
        <f t="shared" ca="1" si="182"/>
        <v>12.454568264932121</v>
      </c>
      <c r="BQ50" s="259">
        <f t="shared" ca="1" si="182"/>
        <v>13.098163468324273</v>
      </c>
      <c r="BR50" s="259">
        <f t="shared" ca="1" si="182"/>
        <v>13.533406431657664</v>
      </c>
      <c r="BS50" s="259">
        <f t="shared" ca="1" si="182"/>
        <v>16.288888140199884</v>
      </c>
      <c r="BT50" s="259">
        <f t="shared" ca="1" si="182"/>
        <v>15.16538472899701</v>
      </c>
      <c r="BU50" s="259">
        <f t="shared" ca="1" si="182"/>
        <v>15.620913604235726</v>
      </c>
      <c r="BV50" s="259">
        <f t="shared" ca="1" si="182"/>
        <v>16.058532011042534</v>
      </c>
      <c r="BW50" s="259">
        <f t="shared" ca="1" si="182"/>
        <v>15.649247817205667</v>
      </c>
      <c r="BX50" s="259">
        <f t="shared" si="182"/>
        <v>13.149126724266887</v>
      </c>
      <c r="BY50" s="259">
        <f>BY46/BY88</f>
        <v>13.270109572920049</v>
      </c>
      <c r="BZ50" s="259">
        <f>BZ46/BZ88</f>
        <v>10.953052687101319</v>
      </c>
      <c r="CA50" s="295">
        <f t="shared" si="182"/>
        <v>9.1995571030255689</v>
      </c>
      <c r="CB50" s="295">
        <f t="shared" si="182"/>
        <v>7.9171379717467607</v>
      </c>
      <c r="CC50" s="295">
        <f t="shared" si="182"/>
        <v>6.9475766056512667</v>
      </c>
      <c r="CD50" s="295">
        <f t="shared" si="182"/>
        <v>6.1642619189618015</v>
      </c>
    </row>
    <row r="51" spans="1:990 1025:2040 2075:3055 3090:4070 4105:5120 5155:6135 6170:7150 7185:8165 8200:9215 9250:10230 10265:11245 11280:12260 12295:13310 13345:14325 14360:15340 15375:16355" ht="13.5" customHeight="1">
      <c r="A51" s="260" t="s">
        <v>19</v>
      </c>
      <c r="B51" s="259"/>
      <c r="C51" s="259"/>
      <c r="D51" s="259"/>
      <c r="E51" s="259"/>
      <c r="F51" s="259"/>
      <c r="G51" s="259"/>
      <c r="H51" s="259"/>
      <c r="I51" s="259"/>
      <c r="J51" s="259"/>
      <c r="K51" s="259"/>
      <c r="L51" s="259"/>
      <c r="M51" s="259"/>
      <c r="N51" s="259"/>
      <c r="O51" s="259"/>
      <c r="P51" s="259"/>
      <c r="Q51" s="259"/>
      <c r="R51" s="259"/>
      <c r="S51" s="259"/>
      <c r="T51" s="259"/>
      <c r="U51" s="259"/>
      <c r="V51" s="259"/>
      <c r="W51" s="259"/>
      <c r="X51" s="259"/>
      <c r="Y51" s="259"/>
      <c r="Z51" s="259"/>
      <c r="AA51" s="259"/>
      <c r="AB51" s="259"/>
      <c r="AC51" s="259"/>
      <c r="AD51" s="259"/>
      <c r="AE51" s="259"/>
      <c r="AF51" s="259"/>
      <c r="AG51" s="259"/>
      <c r="AH51" s="259"/>
      <c r="AI51" s="259"/>
      <c r="AJ51" s="259"/>
      <c r="AK51" s="259"/>
      <c r="AL51" s="259"/>
      <c r="AM51" s="259"/>
      <c r="AN51" s="259"/>
      <c r="AO51" s="259"/>
      <c r="AP51" s="295"/>
      <c r="AQ51" s="295"/>
      <c r="AR51" s="295"/>
      <c r="AS51" s="295"/>
      <c r="AU51" s="295"/>
      <c r="AW51" s="259">
        <f t="shared" ref="AW51:BP51" si="183">(AW48+AW46)/AW16</f>
        <v>1.4071559236108158E-2</v>
      </c>
      <c r="AX51" s="259">
        <f t="shared" si="183"/>
        <v>0.19053288915348265</v>
      </c>
      <c r="AY51" s="259">
        <f t="shared" si="183"/>
        <v>0.19369545308367087</v>
      </c>
      <c r="AZ51" s="259">
        <f t="shared" si="183"/>
        <v>0.33805964895516666</v>
      </c>
      <c r="BA51" s="259">
        <f t="shared" si="183"/>
        <v>0.50429583468648198</v>
      </c>
      <c r="BB51" s="259">
        <f t="shared" si="183"/>
        <v>0.60937219707692392</v>
      </c>
      <c r="BC51" s="259">
        <f t="shared" si="183"/>
        <v>0.77084831184101898</v>
      </c>
      <c r="BD51" s="259" t="e">
        <f t="shared" si="183"/>
        <v>#REF!</v>
      </c>
      <c r="BE51" s="259" t="e">
        <f t="shared" si="183"/>
        <v>#REF!</v>
      </c>
      <c r="BF51" s="259" t="e">
        <f t="shared" si="183"/>
        <v>#REF!</v>
      </c>
      <c r="BG51" s="259" t="e">
        <f t="shared" si="183"/>
        <v>#REF!</v>
      </c>
      <c r="BH51" s="259" t="e">
        <f t="shared" si="183"/>
        <v>#REF!</v>
      </c>
      <c r="BI51" s="259" t="e">
        <f t="shared" si="183"/>
        <v>#REF!</v>
      </c>
      <c r="BJ51" s="259" t="e">
        <f t="shared" si="183"/>
        <v>#REF!</v>
      </c>
      <c r="BK51" s="259" t="e">
        <f t="shared" si="183"/>
        <v>#REF!</v>
      </c>
      <c r="BL51" s="259" t="e">
        <f t="shared" si="183"/>
        <v>#REF!</v>
      </c>
      <c r="BM51" s="259" t="e">
        <f t="shared" si="183"/>
        <v>#REF!</v>
      </c>
      <c r="BN51" s="259" t="e">
        <f t="shared" si="183"/>
        <v>#REF!</v>
      </c>
      <c r="BO51" s="259" t="e">
        <f t="shared" si="183"/>
        <v>#REF!</v>
      </c>
      <c r="BP51" s="259">
        <f t="shared" ca="1" si="183"/>
        <v>10.706314087333562</v>
      </c>
      <c r="BQ51" s="259">
        <f t="shared" ref="BQ51:BX51" ca="1" si="184">(BQ48+BQ46)/BQ16</f>
        <v>13.372592005905293</v>
      </c>
      <c r="BR51" s="259">
        <f t="shared" ca="1" si="184"/>
        <v>12.034043697569455</v>
      </c>
      <c r="BS51" s="259">
        <f t="shared" ca="1" si="184"/>
        <v>10.935747181073346</v>
      </c>
      <c r="BT51" s="259">
        <f t="shared" ca="1" si="184"/>
        <v>8.3267927827716903</v>
      </c>
      <c r="BU51" s="259">
        <f t="shared" ca="1" si="184"/>
        <v>10.354384356995451</v>
      </c>
      <c r="BV51" s="259">
        <f t="shared" ca="1" si="184"/>
        <v>9.0139770679137108</v>
      </c>
      <c r="BW51" s="259">
        <f t="shared" ca="1" si="184"/>
        <v>8.6986062006635052</v>
      </c>
      <c r="BX51" s="259">
        <f t="shared" si="184"/>
        <v>7.3911564541313144</v>
      </c>
      <c r="BY51" s="259">
        <f t="shared" ref="BY51:CD51" si="185">(BY48+BY46)/BY16</f>
        <v>7.7667191023248554</v>
      </c>
      <c r="BZ51" s="259">
        <f t="shared" si="185"/>
        <v>7.2558690238303027</v>
      </c>
      <c r="CA51" s="295">
        <f t="shared" si="185"/>
        <v>7.1655000128247295</v>
      </c>
      <c r="CB51" s="295">
        <f t="shared" si="185"/>
        <v>7.0445569786237145</v>
      </c>
      <c r="CC51" s="295">
        <f t="shared" si="185"/>
        <v>6.9295196831584427</v>
      </c>
      <c r="CD51" s="295">
        <f t="shared" si="185"/>
        <v>6.8161336128777616</v>
      </c>
    </row>
    <row r="52" spans="1:990 1025:2040 2075:3055 3090:4070 4105:5120 5155:6135 6170:7150 7185:8165 8200:9215 9250:10230 10265:11245 11280:12260 12295:13310 13345:14325 14360:15340 15375:16355" ht="13.5" customHeight="1">
      <c r="A52" s="260" t="s">
        <v>89</v>
      </c>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c r="AA52" s="246"/>
      <c r="AB52" s="246"/>
      <c r="AC52" s="246"/>
      <c r="AD52" s="246"/>
      <c r="AE52" s="246"/>
      <c r="AF52" s="246"/>
      <c r="AG52" s="246"/>
      <c r="AH52" s="246"/>
      <c r="AI52" s="246"/>
      <c r="AJ52" s="246"/>
      <c r="AK52" s="246"/>
      <c r="AL52" s="246"/>
      <c r="AM52" s="246"/>
      <c r="AN52" s="246"/>
      <c r="AO52" s="246"/>
      <c r="AP52" s="290"/>
      <c r="AQ52" s="290"/>
      <c r="AR52" s="290"/>
      <c r="AS52" s="290"/>
      <c r="AU52" s="290"/>
      <c r="AW52" s="246" t="e">
        <f t="shared" ref="AW52:CD52" si="186">-AW113/AW46</f>
        <v>#DIV/0!</v>
      </c>
      <c r="AX52" s="246" t="e">
        <f t="shared" si="186"/>
        <v>#DIV/0!</v>
      </c>
      <c r="AY52" s="246" t="e">
        <f t="shared" si="186"/>
        <v>#DIV/0!</v>
      </c>
      <c r="AZ52" s="246" t="e">
        <f t="shared" si="186"/>
        <v>#DIV/0!</v>
      </c>
      <c r="BA52" s="246" t="e">
        <f t="shared" si="186"/>
        <v>#DIV/0!</v>
      </c>
      <c r="BB52" s="246" t="e">
        <f t="shared" si="186"/>
        <v>#DIV/0!</v>
      </c>
      <c r="BC52" s="246" t="e">
        <f t="shared" si="186"/>
        <v>#DIV/0!</v>
      </c>
      <c r="BD52" s="246" t="e">
        <f t="shared" si="186"/>
        <v>#REF!</v>
      </c>
      <c r="BE52" s="246" t="e">
        <f t="shared" si="186"/>
        <v>#REF!</v>
      </c>
      <c r="BF52" s="246" t="e">
        <f t="shared" si="186"/>
        <v>#REF!</v>
      </c>
      <c r="BG52" s="246" t="e">
        <f t="shared" si="186"/>
        <v>#REF!</v>
      </c>
      <c r="BH52" s="246" t="e">
        <f t="shared" si="186"/>
        <v>#REF!</v>
      </c>
      <c r="BI52" s="246" t="e">
        <f t="shared" si="186"/>
        <v>#REF!</v>
      </c>
      <c r="BJ52" s="246" t="e">
        <f t="shared" si="186"/>
        <v>#REF!</v>
      </c>
      <c r="BK52" s="246" t="e">
        <f t="shared" si="186"/>
        <v>#REF!</v>
      </c>
      <c r="BL52" s="246" t="e">
        <f t="shared" si="186"/>
        <v>#REF!</v>
      </c>
      <c r="BM52" s="246" t="e">
        <f t="shared" si="186"/>
        <v>#REF!</v>
      </c>
      <c r="BN52" s="246" t="e">
        <f t="shared" si="186"/>
        <v>#REF!</v>
      </c>
      <c r="BO52" s="246" t="e">
        <f t="shared" si="186"/>
        <v>#REF!</v>
      </c>
      <c r="BP52" s="246">
        <f t="shared" ca="1" si="186"/>
        <v>5.3960551251811623E-2</v>
      </c>
      <c r="BQ52" s="246">
        <f t="shared" ca="1" si="186"/>
        <v>6.1102770609313461E-2</v>
      </c>
      <c r="BR52" s="246">
        <f t="shared" ca="1" si="186"/>
        <v>6.4767880933048472E-2</v>
      </c>
      <c r="BS52" s="246">
        <f t="shared" ca="1" si="186"/>
        <v>5.5549046499927625E-2</v>
      </c>
      <c r="BT52" s="246">
        <f t="shared" ca="1" si="186"/>
        <v>5.6026558743712186E-2</v>
      </c>
      <c r="BU52" s="246">
        <f t="shared" ca="1" si="186"/>
        <v>5.5206176842050432E-2</v>
      </c>
      <c r="BV52" s="246">
        <f t="shared" ca="1" si="186"/>
        <v>6.0943897918970973E-2</v>
      </c>
      <c r="BW52" s="246">
        <f t="shared" ca="1" si="186"/>
        <v>4.5426749366646271E-2</v>
      </c>
      <c r="BX52" s="246">
        <f t="shared" si="186"/>
        <v>5.8727631885663135E-2</v>
      </c>
      <c r="BY52" s="246">
        <f t="shared" si="186"/>
        <v>6.4657729829694394E-2</v>
      </c>
      <c r="BZ52" s="246">
        <f t="shared" ref="BZ52" si="187">-BZ113/BZ46</f>
        <v>7.2025421251274022E-2</v>
      </c>
      <c r="CA52" s="290">
        <f t="shared" si="186"/>
        <v>6.904889212940625E-2</v>
      </c>
      <c r="CB52" s="290">
        <f t="shared" si="186"/>
        <v>6.9160823204918037E-2</v>
      </c>
      <c r="CC52" s="290">
        <f t="shared" si="186"/>
        <v>6.9414566394633795E-2</v>
      </c>
      <c r="CD52" s="290">
        <f t="shared" si="186"/>
        <v>6.9633101801205952E-2</v>
      </c>
    </row>
    <row r="53" spans="1:990 1025:2040 2075:3055 3090:4070 4105:5120 5155:6135 6170:7150 7185:8165 8200:9215 9250:10230 10265:11245 11280:12260 12295:13310 13345:14325 14360:15340 15375:16355" ht="13.5" customHeight="1">
      <c r="A53" s="260" t="s">
        <v>21</v>
      </c>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c r="AA53" s="246"/>
      <c r="AB53" s="246"/>
      <c r="AC53" s="246"/>
      <c r="AD53" s="246"/>
      <c r="AE53" s="246"/>
      <c r="AF53" s="246"/>
      <c r="AG53" s="246"/>
      <c r="AH53" s="246"/>
      <c r="AI53" s="246"/>
      <c r="AJ53" s="246"/>
      <c r="AK53" s="246"/>
      <c r="AL53" s="246"/>
      <c r="AM53" s="246"/>
      <c r="AN53" s="246"/>
      <c r="AO53" s="246"/>
      <c r="AP53" s="290"/>
      <c r="AQ53" s="290"/>
      <c r="AR53" s="290"/>
      <c r="AS53" s="290"/>
      <c r="AU53" s="290"/>
      <c r="AW53" s="246">
        <f t="shared" ref="AW53:CD53" si="188">AW107/(AW46+AW48)</f>
        <v>44.110189312915942</v>
      </c>
      <c r="AX53" s="246">
        <f t="shared" si="188"/>
        <v>2.5059051031381148</v>
      </c>
      <c r="AY53" s="246">
        <f t="shared" si="188"/>
        <v>2.3024416166374624</v>
      </c>
      <c r="AZ53" s="246">
        <f t="shared" si="188"/>
        <v>1.1323655068229772</v>
      </c>
      <c r="BA53" s="246">
        <f t="shared" si="188"/>
        <v>0.68920045763719562</v>
      </c>
      <c r="BB53" s="246">
        <f t="shared" si="188"/>
        <v>0.74688752551365512</v>
      </c>
      <c r="BC53" s="246">
        <f t="shared" si="188"/>
        <v>0.4811575558268904</v>
      </c>
      <c r="BD53" s="246" t="e">
        <f t="shared" si="188"/>
        <v>#REF!</v>
      </c>
      <c r="BE53" s="246" t="e">
        <f t="shared" si="188"/>
        <v>#REF!</v>
      </c>
      <c r="BF53" s="246" t="e">
        <f t="shared" si="188"/>
        <v>#REF!</v>
      </c>
      <c r="BG53" s="246" t="e">
        <f t="shared" si="188"/>
        <v>#REF!</v>
      </c>
      <c r="BH53" s="246" t="e">
        <f t="shared" si="188"/>
        <v>#REF!</v>
      </c>
      <c r="BI53" s="246" t="e">
        <f t="shared" si="188"/>
        <v>#REF!</v>
      </c>
      <c r="BJ53" s="246" t="e">
        <f t="shared" si="188"/>
        <v>#REF!</v>
      </c>
      <c r="BK53" s="246" t="e">
        <f t="shared" si="188"/>
        <v>#REF!</v>
      </c>
      <c r="BL53" s="246" t="e">
        <f t="shared" si="188"/>
        <v>#REF!</v>
      </c>
      <c r="BM53" s="246" t="e">
        <f t="shared" si="188"/>
        <v>#REF!</v>
      </c>
      <c r="BN53" s="246" t="e">
        <f t="shared" si="188"/>
        <v>#REF!</v>
      </c>
      <c r="BO53" s="246" t="e">
        <f t="shared" si="188"/>
        <v>#REF!</v>
      </c>
      <c r="BP53" s="246">
        <f t="shared" ca="1" si="188"/>
        <v>3.6022613673460983E-2</v>
      </c>
      <c r="BQ53" s="246">
        <f t="shared" ca="1" si="188"/>
        <v>2.9962906360072841E-2</v>
      </c>
      <c r="BR53" s="246">
        <f t="shared" ca="1" si="188"/>
        <v>5.4392972400019612E-2</v>
      </c>
      <c r="BS53" s="246">
        <f t="shared" ca="1" si="188"/>
        <v>8.7898080319421035E-2</v>
      </c>
      <c r="BT53" s="246">
        <f t="shared" ca="1" si="188"/>
        <v>9.1710116761134663E-2</v>
      </c>
      <c r="BU53" s="246">
        <f t="shared" ca="1" si="188"/>
        <v>4.3637671686372205E-2</v>
      </c>
      <c r="BV53" s="246">
        <f t="shared" ca="1" si="188"/>
        <v>6.2823250483400012E-2</v>
      </c>
      <c r="BW53" s="246">
        <f t="shared" ca="1" si="188"/>
        <v>8.7715791499249476E-2</v>
      </c>
      <c r="BX53" s="246">
        <f t="shared" si="188"/>
        <v>7.3556668437011904E-2</v>
      </c>
      <c r="BY53" s="246">
        <f>BY107/(BY46+BY48)</f>
        <v>7.291055493664747E-2</v>
      </c>
      <c r="BZ53" s="246">
        <f>BZ107/(BZ46+BZ48)</f>
        <v>7.5104828250892472E-2</v>
      </c>
      <c r="CA53" s="290">
        <f t="shared" si="188"/>
        <v>7.6788282673117866E-2</v>
      </c>
      <c r="CB53" s="290">
        <f t="shared" si="188"/>
        <v>7.770919974707105E-2</v>
      </c>
      <c r="CC53" s="290">
        <f t="shared" si="188"/>
        <v>7.8881428854079491E-2</v>
      </c>
      <c r="CD53" s="290">
        <f t="shared" si="188"/>
        <v>8.0708688503392967E-2</v>
      </c>
    </row>
    <row r="54" spans="1:990 1025:2040 2075:3055 3090:4070 4105:5120 5155:6135 6170:7150 7185:8165 8200:9215 9250:10230 10265:11245 11280:12260 12295:13310 13345:14325 14360:15340 15375:16355" ht="13.5" customHeight="1">
      <c r="A54" s="260" t="s">
        <v>90</v>
      </c>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46"/>
      <c r="AB54" s="246"/>
      <c r="AC54" s="246"/>
      <c r="AD54" s="246"/>
      <c r="AE54" s="246"/>
      <c r="AF54" s="246"/>
      <c r="AG54" s="246"/>
      <c r="AH54" s="246"/>
      <c r="AI54" s="246"/>
      <c r="AJ54" s="246"/>
      <c r="AK54" s="246"/>
      <c r="AL54" s="246"/>
      <c r="AM54" s="246"/>
      <c r="AN54" s="246"/>
      <c r="AO54" s="246"/>
      <c r="AP54" s="290"/>
      <c r="AQ54" s="290"/>
      <c r="AR54" s="290"/>
      <c r="AS54" s="290"/>
      <c r="AU54" s="290"/>
      <c r="AW54" s="246" t="e">
        <f t="shared" ref="AW54:CD54" si="189">AW107/AW46</f>
        <v>#DIV/0!</v>
      </c>
      <c r="AX54" s="246" t="e">
        <f t="shared" si="189"/>
        <v>#DIV/0!</v>
      </c>
      <c r="AY54" s="246" t="e">
        <f t="shared" si="189"/>
        <v>#DIV/0!</v>
      </c>
      <c r="AZ54" s="246" t="e">
        <f t="shared" si="189"/>
        <v>#DIV/0!</v>
      </c>
      <c r="BA54" s="246" t="e">
        <f t="shared" si="189"/>
        <v>#DIV/0!</v>
      </c>
      <c r="BB54" s="246" t="e">
        <f t="shared" si="189"/>
        <v>#DIV/0!</v>
      </c>
      <c r="BC54" s="246" t="e">
        <f t="shared" si="189"/>
        <v>#DIV/0!</v>
      </c>
      <c r="BD54" s="246" t="e">
        <f t="shared" si="189"/>
        <v>#REF!</v>
      </c>
      <c r="BE54" s="246" t="e">
        <f t="shared" si="189"/>
        <v>#REF!</v>
      </c>
      <c r="BF54" s="246" t="e">
        <f t="shared" si="189"/>
        <v>#REF!</v>
      </c>
      <c r="BG54" s="246" t="e">
        <f t="shared" si="189"/>
        <v>#REF!</v>
      </c>
      <c r="BH54" s="246" t="e">
        <f t="shared" si="189"/>
        <v>#REF!</v>
      </c>
      <c r="BI54" s="246" t="e">
        <f t="shared" si="189"/>
        <v>#REF!</v>
      </c>
      <c r="BJ54" s="246" t="e">
        <f t="shared" si="189"/>
        <v>#REF!</v>
      </c>
      <c r="BK54" s="246" t="e">
        <f t="shared" si="189"/>
        <v>#REF!</v>
      </c>
      <c r="BL54" s="246" t="e">
        <f t="shared" si="189"/>
        <v>#REF!</v>
      </c>
      <c r="BM54" s="246" t="e">
        <f t="shared" si="189"/>
        <v>#REF!</v>
      </c>
      <c r="BN54" s="246" t="e">
        <f t="shared" si="189"/>
        <v>#REF!</v>
      </c>
      <c r="BO54" s="246" t="e">
        <f t="shared" si="189"/>
        <v>#REF!</v>
      </c>
      <c r="BP54" s="246">
        <f t="shared" ca="1" si="189"/>
        <v>4.2557721549425727E-2</v>
      </c>
      <c r="BQ54" s="246">
        <f t="shared" ca="1" si="189"/>
        <v>3.6960898640187465E-2</v>
      </c>
      <c r="BR54" s="246">
        <f t="shared" ca="1" si="189"/>
        <v>6.8588934486831996E-2</v>
      </c>
      <c r="BS54" s="246">
        <f t="shared" ca="1" si="189"/>
        <v>0.10560125384832277</v>
      </c>
      <c r="BT54" s="246">
        <f t="shared" ca="1" si="189"/>
        <v>0.1082698520675909</v>
      </c>
      <c r="BU54" s="246">
        <f t="shared" ca="1" si="189"/>
        <v>5.1977123673244217E-2</v>
      </c>
      <c r="BV54" s="246">
        <f t="shared" ca="1" si="189"/>
        <v>7.651726412848224E-2</v>
      </c>
      <c r="BW54" s="246">
        <f t="shared" ca="1" si="189"/>
        <v>9.803804505945303E-2</v>
      </c>
      <c r="BX54" s="246">
        <f t="shared" si="189"/>
        <v>8.3145987734217025E-2</v>
      </c>
      <c r="BY54" s="246">
        <f>BY107/BY46</f>
        <v>8.3178063535332497E-2</v>
      </c>
      <c r="BZ54" s="246">
        <f>BZ107/BZ46</f>
        <v>8.6430448726881187E-2</v>
      </c>
      <c r="CA54" s="290">
        <f t="shared" si="189"/>
        <v>8.6990090089943337E-2</v>
      </c>
      <c r="CB54" s="290">
        <f t="shared" si="189"/>
        <v>8.6672535642770568E-2</v>
      </c>
      <c r="CC54" s="290">
        <f t="shared" si="189"/>
        <v>8.6622582165451475E-2</v>
      </c>
      <c r="CD54" s="290">
        <f t="shared" si="189"/>
        <v>8.7210513013381508E-2</v>
      </c>
    </row>
    <row r="55" spans="1:990 1025:2040 2075:3055 3090:4070 4105:5120 5155:6135 6170:7150 7185:8165 8200:9215 9250:10230 10265:11245 11280:12260 12295:13310 13345:14325 14360:15340 15375:16355" ht="13.5" customHeight="1">
      <c r="A55" s="321" t="s">
        <v>91</v>
      </c>
      <c r="B55" s="244">
        <f t="shared" ref="B55:I55" si="190">B$2</f>
        <v>42459</v>
      </c>
      <c r="C55" s="244">
        <f t="shared" si="190"/>
        <v>42551</v>
      </c>
      <c r="D55" s="244">
        <f t="shared" si="190"/>
        <v>42643</v>
      </c>
      <c r="E55" s="244">
        <f t="shared" si="190"/>
        <v>42735</v>
      </c>
      <c r="F55" s="244">
        <f t="shared" si="190"/>
        <v>42825</v>
      </c>
      <c r="G55" s="244">
        <f t="shared" si="190"/>
        <v>42916</v>
      </c>
      <c r="H55" s="244">
        <f t="shared" si="190"/>
        <v>43008</v>
      </c>
      <c r="I55" s="244">
        <f t="shared" si="190"/>
        <v>43100</v>
      </c>
      <c r="J55" s="244">
        <f t="shared" ref="J55:AS55" si="191">J$2</f>
        <v>43190</v>
      </c>
      <c r="K55" s="244">
        <f t="shared" si="191"/>
        <v>43281</v>
      </c>
      <c r="L55" s="244">
        <f t="shared" si="191"/>
        <v>43373</v>
      </c>
      <c r="M55" s="244">
        <f t="shared" si="191"/>
        <v>43465</v>
      </c>
      <c r="N55" s="244">
        <f t="shared" si="191"/>
        <v>43555</v>
      </c>
      <c r="O55" s="244">
        <f t="shared" si="191"/>
        <v>43646</v>
      </c>
      <c r="P55" s="244">
        <f t="shared" si="191"/>
        <v>43738</v>
      </c>
      <c r="Q55" s="244">
        <f t="shared" si="191"/>
        <v>43830</v>
      </c>
      <c r="R55" s="244">
        <f t="shared" si="191"/>
        <v>43921</v>
      </c>
      <c r="S55" s="244">
        <f t="shared" si="191"/>
        <v>44012</v>
      </c>
      <c r="T55" s="244">
        <f t="shared" si="191"/>
        <v>44104</v>
      </c>
      <c r="U55" s="244">
        <f t="shared" si="191"/>
        <v>44196</v>
      </c>
      <c r="V55" s="244">
        <f t="shared" si="191"/>
        <v>44286</v>
      </c>
      <c r="W55" s="244">
        <f t="shared" si="191"/>
        <v>44377</v>
      </c>
      <c r="X55" s="244">
        <f t="shared" si="191"/>
        <v>44469</v>
      </c>
      <c r="Y55" s="244">
        <f t="shared" si="191"/>
        <v>44561</v>
      </c>
      <c r="Z55" s="244">
        <f t="shared" si="191"/>
        <v>44651</v>
      </c>
      <c r="AA55" s="244">
        <f t="shared" si="191"/>
        <v>44742</v>
      </c>
      <c r="AB55" s="244">
        <f t="shared" si="191"/>
        <v>44834</v>
      </c>
      <c r="AC55" s="244">
        <f t="shared" si="191"/>
        <v>44926</v>
      </c>
      <c r="AD55" s="244">
        <f t="shared" si="191"/>
        <v>45016</v>
      </c>
      <c r="AE55" s="244">
        <f t="shared" si="191"/>
        <v>45107</v>
      </c>
      <c r="AF55" s="244">
        <f t="shared" si="191"/>
        <v>45199</v>
      </c>
      <c r="AG55" s="244">
        <f t="shared" si="191"/>
        <v>45291</v>
      </c>
      <c r="AH55" s="244">
        <f t="shared" si="191"/>
        <v>45382</v>
      </c>
      <c r="AI55" s="244">
        <f t="shared" si="191"/>
        <v>45473</v>
      </c>
      <c r="AJ55" s="244">
        <f t="shared" si="191"/>
        <v>45565</v>
      </c>
      <c r="AK55" s="244">
        <f t="shared" si="191"/>
        <v>45657</v>
      </c>
      <c r="AL55" s="244">
        <f t="shared" si="191"/>
        <v>45747</v>
      </c>
      <c r="AM55" s="244">
        <f t="shared" si="191"/>
        <v>45838</v>
      </c>
      <c r="AN55" s="244">
        <f t="shared" si="191"/>
        <v>45930</v>
      </c>
      <c r="AO55" s="244">
        <f t="shared" si="191"/>
        <v>46022</v>
      </c>
      <c r="AP55" s="244">
        <f t="shared" si="191"/>
        <v>46112</v>
      </c>
      <c r="AQ55" s="244">
        <f t="shared" si="191"/>
        <v>46203</v>
      </c>
      <c r="AR55" s="244">
        <f t="shared" si="191"/>
        <v>46295</v>
      </c>
      <c r="AS55" s="244">
        <f t="shared" si="191"/>
        <v>46387</v>
      </c>
      <c r="AU55" s="244">
        <v>46022</v>
      </c>
      <c r="AW55" s="244">
        <f t="shared" ref="AW55:CD55" si="192">AW$2</f>
        <v>35795</v>
      </c>
      <c r="AX55" s="244">
        <f t="shared" si="192"/>
        <v>36160</v>
      </c>
      <c r="AY55" s="244">
        <f t="shared" si="192"/>
        <v>36525</v>
      </c>
      <c r="AZ55" s="244">
        <f t="shared" si="192"/>
        <v>36891</v>
      </c>
      <c r="BA55" s="244">
        <f t="shared" si="192"/>
        <v>37256</v>
      </c>
      <c r="BB55" s="244">
        <f t="shared" si="192"/>
        <v>37621</v>
      </c>
      <c r="BC55" s="244">
        <f t="shared" si="192"/>
        <v>37986</v>
      </c>
      <c r="BD55" s="244">
        <f t="shared" si="192"/>
        <v>38352</v>
      </c>
      <c r="BE55" s="244">
        <f t="shared" si="192"/>
        <v>38717</v>
      </c>
      <c r="BF55" s="244">
        <f t="shared" si="192"/>
        <v>39082</v>
      </c>
      <c r="BG55" s="244">
        <f t="shared" si="192"/>
        <v>39447</v>
      </c>
      <c r="BH55" s="244">
        <f t="shared" si="192"/>
        <v>39813</v>
      </c>
      <c r="BI55" s="244">
        <f t="shared" si="192"/>
        <v>40178</v>
      </c>
      <c r="BJ55" s="244">
        <f t="shared" si="192"/>
        <v>40543</v>
      </c>
      <c r="BK55" s="244">
        <f t="shared" si="192"/>
        <v>40908</v>
      </c>
      <c r="BL55" s="244">
        <f t="shared" si="192"/>
        <v>41274</v>
      </c>
      <c r="BM55" s="244">
        <f t="shared" si="192"/>
        <v>41639</v>
      </c>
      <c r="BN55" s="244">
        <f t="shared" si="192"/>
        <v>42004</v>
      </c>
      <c r="BO55" s="244">
        <f t="shared" si="192"/>
        <v>42369</v>
      </c>
      <c r="BP55" s="244">
        <f t="shared" si="192"/>
        <v>42735</v>
      </c>
      <c r="BQ55" s="244">
        <f t="shared" si="192"/>
        <v>43100</v>
      </c>
      <c r="BR55" s="244">
        <f t="shared" si="192"/>
        <v>43465</v>
      </c>
      <c r="BS55" s="244">
        <f t="shared" si="192"/>
        <v>43830</v>
      </c>
      <c r="BT55" s="244">
        <f t="shared" si="192"/>
        <v>44196</v>
      </c>
      <c r="BU55" s="244">
        <f t="shared" si="192"/>
        <v>44561</v>
      </c>
      <c r="BV55" s="244">
        <f t="shared" si="192"/>
        <v>44926</v>
      </c>
      <c r="BW55" s="244">
        <f t="shared" si="192"/>
        <v>45291</v>
      </c>
      <c r="BX55" s="244">
        <f t="shared" si="192"/>
        <v>45657</v>
      </c>
      <c r="BY55" s="244">
        <f t="shared" si="192"/>
        <v>46022</v>
      </c>
      <c r="BZ55" s="244">
        <f t="shared" si="192"/>
        <v>46387</v>
      </c>
      <c r="CA55" s="244">
        <f t="shared" si="192"/>
        <v>46752</v>
      </c>
      <c r="CB55" s="244">
        <f t="shared" si="192"/>
        <v>47118</v>
      </c>
      <c r="CC55" s="244">
        <f t="shared" si="192"/>
        <v>47483</v>
      </c>
      <c r="CD55" s="244">
        <f t="shared" si="192"/>
        <v>47848</v>
      </c>
    </row>
    <row r="56" spans="1:990 1025:2040 2075:3055 3090:4070 4105:5120 5155:6135 6170:7150 7185:8165 8200:9215 9250:10230 10265:11245 11280:12260 12295:13310 13345:14325 14360:15340 15375:16355" ht="13.5" customHeight="1">
      <c r="A56" s="260" t="s">
        <v>92</v>
      </c>
      <c r="B56" s="249">
        <v>11088.367</v>
      </c>
      <c r="C56" s="249">
        <v>9588.6299999999992</v>
      </c>
      <c r="D56" s="249">
        <v>8938.9220000000005</v>
      </c>
      <c r="E56" s="249">
        <v>7461.4920000000002</v>
      </c>
      <c r="F56" s="249">
        <v>7275.9260000000004</v>
      </c>
      <c r="G56" s="249">
        <v>6261.1409999999996</v>
      </c>
      <c r="H56" s="249">
        <v>6013.1139999999996</v>
      </c>
      <c r="I56" s="249">
        <v>4674.3389999999999</v>
      </c>
      <c r="J56" s="249">
        <v>5426</v>
      </c>
      <c r="K56" s="249">
        <v>7509.7690000000002</v>
      </c>
      <c r="L56" s="249">
        <v>5994.8729999999996</v>
      </c>
      <c r="M56" s="249">
        <v>4999.5020000000004</v>
      </c>
      <c r="N56" s="249">
        <v>6534</v>
      </c>
      <c r="O56" s="249">
        <v>6703</v>
      </c>
      <c r="P56" s="249">
        <v>7074.7190000000001</v>
      </c>
      <c r="Q56" s="249">
        <v>6838.5559999999996</v>
      </c>
      <c r="R56" s="249">
        <v>9723.223</v>
      </c>
      <c r="S56" s="249">
        <v>10328.019</v>
      </c>
      <c r="T56" s="249">
        <v>22033.999</v>
      </c>
      <c r="U56" s="249">
        <v>18583.898000000001</v>
      </c>
      <c r="V56" s="249">
        <v>15739.026</v>
      </c>
      <c r="W56" s="249">
        <v>14264.677</v>
      </c>
      <c r="X56" s="249">
        <v>14288.94</v>
      </c>
      <c r="Y56" s="249">
        <v>12274.692999999999</v>
      </c>
      <c r="Z56" s="249">
        <v>12397.933000000001</v>
      </c>
      <c r="AA56" s="249">
        <v>9667.9330000000009</v>
      </c>
      <c r="AB56" s="249">
        <v>18113.649000000001</v>
      </c>
      <c r="AC56" s="249">
        <v>16919.157999999999</v>
      </c>
      <c r="AD56" s="249">
        <v>17919.129000000001</v>
      </c>
      <c r="AE56" s="249">
        <v>19112.823</v>
      </c>
      <c r="AF56" s="249">
        <v>18496.524000000001</v>
      </c>
      <c r="AG56" s="249">
        <v>18972.075000000001</v>
      </c>
      <c r="AH56" s="249">
        <v>20193.011999999999</v>
      </c>
      <c r="AI56" s="249">
        <v>16874.934000000001</v>
      </c>
      <c r="AJ56" s="249">
        <v>16739.429</v>
      </c>
      <c r="AK56" s="249">
        <v>15582.477000000001</v>
      </c>
      <c r="AL56" s="249">
        <v>11782.71</v>
      </c>
      <c r="AM56" s="249">
        <v>10953.823</v>
      </c>
      <c r="AN56" s="249">
        <v>10749.482</v>
      </c>
      <c r="AO56" s="249">
        <v>9660.2790000000005</v>
      </c>
      <c r="AP56" s="296">
        <f t="shared" ref="AP56:AS56" si="193">AP130</f>
        <v>18067.045320775505</v>
      </c>
      <c r="AQ56" s="296">
        <f t="shared" si="193"/>
        <v>15879.132535160123</v>
      </c>
      <c r="AR56" s="296">
        <f t="shared" si="193"/>
        <v>14448.255863547378</v>
      </c>
      <c r="AS56" s="296">
        <f t="shared" si="193"/>
        <v>9013.8134293041549</v>
      </c>
      <c r="AU56" s="296">
        <v>6303.0442995647572</v>
      </c>
      <c r="AW56" s="249">
        <v>2078.058</v>
      </c>
      <c r="AX56" s="249">
        <v>1829.076</v>
      </c>
      <c r="AY56" s="249">
        <v>2571.183</v>
      </c>
      <c r="AZ56" s="249">
        <v>2018.306</v>
      </c>
      <c r="BA56" s="249">
        <v>2205.614</v>
      </c>
      <c r="BB56" s="249">
        <v>1699.29</v>
      </c>
      <c r="BC56" s="249">
        <v>1709.5170000000001</v>
      </c>
      <c r="BD56" s="249">
        <v>2132.7809999999999</v>
      </c>
      <c r="BE56" s="249">
        <v>1803.0609999999999</v>
      </c>
      <c r="BF56" s="249">
        <v>1776.69</v>
      </c>
      <c r="BG56" s="249">
        <v>2914.9679999999998</v>
      </c>
      <c r="BH56" s="249">
        <v>3017.607</v>
      </c>
      <c r="BI56" s="249">
        <v>6460.4949999999999</v>
      </c>
      <c r="BJ56" s="249">
        <v>6306.9719999999998</v>
      </c>
      <c r="BK56" s="249">
        <v>4027.5639999999999</v>
      </c>
      <c r="BL56" s="249">
        <v>3464.93</v>
      </c>
      <c r="BM56" s="249">
        <v>5390.25</v>
      </c>
      <c r="BN56" s="249">
        <v>5049.5469999999996</v>
      </c>
      <c r="BO56" s="249">
        <v>7933.6989999999996</v>
      </c>
      <c r="BP56" s="249">
        <v>7461.4920000000002</v>
      </c>
      <c r="BQ56" s="249">
        <f t="shared" ref="BQ56:BW61" si="194">+SUMIFS($B56:$AK56,$B$2:$AK$2,"="&amp;BQ$2)</f>
        <v>4674.3389999999999</v>
      </c>
      <c r="BR56" s="249">
        <f t="shared" si="194"/>
        <v>4999.5020000000004</v>
      </c>
      <c r="BS56" s="249">
        <f t="shared" si="194"/>
        <v>6838.5559999999996</v>
      </c>
      <c r="BT56" s="249">
        <f t="shared" si="194"/>
        <v>18583.898000000001</v>
      </c>
      <c r="BU56" s="249">
        <f t="shared" si="194"/>
        <v>12274.692999999999</v>
      </c>
      <c r="BV56" s="249">
        <f t="shared" si="194"/>
        <v>16919.157999999999</v>
      </c>
      <c r="BW56" s="249">
        <f t="shared" si="194"/>
        <v>18972.075000000001</v>
      </c>
      <c r="BX56" s="249">
        <f>+SUMIFS($B56:$AO56,$B$2:$AO$2,"="&amp;BX$2)</f>
        <v>15582.477000000001</v>
      </c>
      <c r="BY56" s="249">
        <f>+SUMIFS($B56:$AS56,$B$2:$AS$2,"="&amp;BY$2)</f>
        <v>9660.2790000000005</v>
      </c>
      <c r="BZ56" s="249">
        <f>+SUMIFS($B56:$AS56,$B$2:$AS$2,"="&amp;BZ$2)</f>
        <v>9013.8134293041549</v>
      </c>
      <c r="CA56" s="296">
        <f>CA130</f>
        <v>10699.615777385048</v>
      </c>
      <c r="CB56" s="296">
        <f>CB130</f>
        <v>12345.062531363423</v>
      </c>
      <c r="CC56" s="296">
        <f>CC130</f>
        <v>13961.973144359585</v>
      </c>
      <c r="CD56" s="296">
        <f>CD130</f>
        <v>15613.593128702143</v>
      </c>
    </row>
    <row r="57" spans="1:990 1025:2040 2075:3055 3090:4070 4105:5120 5155:6135 6170:7150 7185:8165 8200:9215 9250:10230 10265:11245 11280:12260 12295:13310 13345:14325 14360:15340 15375:16355" ht="13.5" customHeight="1">
      <c r="A57" s="260" t="s">
        <v>93</v>
      </c>
      <c r="B57" s="249">
        <v>5543.53</v>
      </c>
      <c r="C57" s="249">
        <v>5490.6790000000001</v>
      </c>
      <c r="D57" s="249">
        <v>5965.7160000000003</v>
      </c>
      <c r="E57" s="249">
        <v>5627.05</v>
      </c>
      <c r="F57" s="249">
        <v>6288.0240000000003</v>
      </c>
      <c r="G57" s="249">
        <v>6353.1689999999999</v>
      </c>
      <c r="H57" s="249">
        <v>5906.5079999999998</v>
      </c>
      <c r="I57" s="249">
        <v>6295.1840000000002</v>
      </c>
      <c r="J57" s="249">
        <v>7538</v>
      </c>
      <c r="K57" s="249">
        <v>7530.7089999999998</v>
      </c>
      <c r="L57" s="249">
        <v>6784.9629999999997</v>
      </c>
      <c r="M57" s="249">
        <v>7080.4780000000001</v>
      </c>
      <c r="N57" s="249">
        <v>7463</v>
      </c>
      <c r="O57" s="249">
        <v>7059</v>
      </c>
      <c r="P57" s="249">
        <v>6519.1090000000004</v>
      </c>
      <c r="Q57" s="249">
        <v>6694.4</v>
      </c>
      <c r="R57" s="249">
        <v>7172.4390000000003</v>
      </c>
      <c r="S57" s="249">
        <v>6492.7309999999998</v>
      </c>
      <c r="T57" s="249">
        <v>5951.8779999999997</v>
      </c>
      <c r="U57" s="249">
        <v>6051.9409999999998</v>
      </c>
      <c r="V57" s="249">
        <v>6806.5240000000003</v>
      </c>
      <c r="W57" s="249">
        <v>7228.2629999999999</v>
      </c>
      <c r="X57" s="249">
        <v>6787.6319999999996</v>
      </c>
      <c r="Y57" s="249">
        <v>6805.7560999999996</v>
      </c>
      <c r="Z57" s="249">
        <v>7992.8770000000004</v>
      </c>
      <c r="AA57" s="249">
        <v>7498.75</v>
      </c>
      <c r="AB57" s="249">
        <v>7024.5690000000004</v>
      </c>
      <c r="AC57" s="249">
        <v>7084.54</v>
      </c>
      <c r="AD57" s="249">
        <v>8199.2839999999997</v>
      </c>
      <c r="AE57" s="249">
        <v>8120.2222000000002</v>
      </c>
      <c r="AF57" s="249">
        <v>7082.64</v>
      </c>
      <c r="AG57" s="249">
        <v>7187.2179999999998</v>
      </c>
      <c r="AH57" s="249">
        <v>8444.7729999999992</v>
      </c>
      <c r="AI57" s="249">
        <v>8650.6759999999995</v>
      </c>
      <c r="AJ57" s="249">
        <v>7933.0730000000003</v>
      </c>
      <c r="AK57" s="249">
        <v>8011.232</v>
      </c>
      <c r="AL57" s="249">
        <v>8917.1209999999992</v>
      </c>
      <c r="AM57" s="249">
        <v>9065.85</v>
      </c>
      <c r="AN57" s="249">
        <v>8416.2090000000007</v>
      </c>
      <c r="AO57" s="249">
        <v>8670.6689999999999</v>
      </c>
      <c r="AP57" s="296">
        <f t="shared" ref="AP57:AS57" si="195">AP58*AP3*4</f>
        <v>8702.5769562283258</v>
      </c>
      <c r="AQ57" s="296">
        <f t="shared" si="195"/>
        <v>8895.0682878599364</v>
      </c>
      <c r="AR57" s="296">
        <f t="shared" si="195"/>
        <v>8477.8156176404937</v>
      </c>
      <c r="AS57" s="296">
        <f t="shared" si="195"/>
        <v>8887.4357249999994</v>
      </c>
      <c r="AU57" s="296">
        <v>8772.1007676976915</v>
      </c>
      <c r="AW57" s="249">
        <v>1928.097</v>
      </c>
      <c r="AX57" s="249">
        <v>2474.11</v>
      </c>
      <c r="AY57" s="249">
        <v>2908.596</v>
      </c>
      <c r="AZ57" s="249">
        <v>3330.75</v>
      </c>
      <c r="BA57" s="249">
        <v>3479.9409999999998</v>
      </c>
      <c r="BB57" s="249">
        <v>3616.47</v>
      </c>
      <c r="BC57" s="249">
        <v>3740.375</v>
      </c>
      <c r="BD57" s="249">
        <v>4119.8289999999997</v>
      </c>
      <c r="BE57" s="249">
        <v>4429.8040000000001</v>
      </c>
      <c r="BF57" s="249">
        <v>3662.7959999999998</v>
      </c>
      <c r="BG57" s="249">
        <v>3564.8910000000001</v>
      </c>
      <c r="BH57" s="249">
        <v>4166.3919999999998</v>
      </c>
      <c r="BI57" s="249">
        <v>4096.0469999999996</v>
      </c>
      <c r="BJ57" s="249">
        <v>4543.91</v>
      </c>
      <c r="BK57" s="249">
        <v>5383.7049999999999</v>
      </c>
      <c r="BL57" s="249">
        <v>5278.6229999999996</v>
      </c>
      <c r="BM57" s="249">
        <v>4854.7610000000004</v>
      </c>
      <c r="BN57" s="249">
        <v>5053.7929999999997</v>
      </c>
      <c r="BO57" s="249">
        <v>4784.1189999999997</v>
      </c>
      <c r="BP57" s="249">
        <v>5627.05</v>
      </c>
      <c r="BQ57" s="249">
        <f t="shared" si="194"/>
        <v>6295.1840000000002</v>
      </c>
      <c r="BR57" s="249">
        <f t="shared" si="194"/>
        <v>7080.4780000000001</v>
      </c>
      <c r="BS57" s="249">
        <f t="shared" si="194"/>
        <v>6694.4</v>
      </c>
      <c r="BT57" s="249">
        <f t="shared" si="194"/>
        <v>6051.9409999999998</v>
      </c>
      <c r="BU57" s="249">
        <f t="shared" si="194"/>
        <v>6805.7560999999996</v>
      </c>
      <c r="BV57" s="249">
        <f t="shared" si="194"/>
        <v>7084.54</v>
      </c>
      <c r="BW57" s="249">
        <f t="shared" si="194"/>
        <v>7187.2179999999998</v>
      </c>
      <c r="BX57" s="249">
        <f>+SUMIFS($B57:$AO57,$B$2:$AO$2,"="&amp;BX$2)</f>
        <v>8011.232</v>
      </c>
      <c r="BY57" s="249">
        <f>+SUMIFS($B57:$AS57,$B$2:$AS$2,"="&amp;BY$2)</f>
        <v>8670.6689999999999</v>
      </c>
      <c r="BZ57" s="249">
        <f>+SUMIFS($B57:$AS57,$B$2:$AS$2,"="&amp;BZ$2)</f>
        <v>8887.4357249999994</v>
      </c>
      <c r="CA57" s="296">
        <f>CA58*CA3</f>
        <v>9065.1844394999989</v>
      </c>
      <c r="CB57" s="296">
        <f>CB58*CB3</f>
        <v>9246.4881282899987</v>
      </c>
      <c r="CC57" s="296">
        <f>CC58*CC3</f>
        <v>9431.4178908557988</v>
      </c>
      <c r="CD57" s="296">
        <f>CD58*CD3</f>
        <v>9620.0462486729139</v>
      </c>
    </row>
    <row r="58" spans="1:990 1025:2040 2075:3055 3090:4070 4105:5120 5155:6135 6170:7150 7185:8165 8200:9215 9250:10230 10265:11245 11280:12260 12295:13310 13345:14325 14360:15340 15375:16355" s="412" customFormat="1" ht="13.5" customHeight="1">
      <c r="A58" s="274" t="s">
        <v>94</v>
      </c>
      <c r="B58" s="246">
        <f t="shared" ref="B58:G58" si="196">B57/B$3/4</f>
        <v>0.15878003743447908</v>
      </c>
      <c r="C58" s="246">
        <f t="shared" si="196"/>
        <v>0.15543142143678326</v>
      </c>
      <c r="D58" s="246">
        <f t="shared" si="196"/>
        <v>0.17104608692949572</v>
      </c>
      <c r="E58" s="246">
        <f t="shared" si="196"/>
        <v>0.1499560076101398</v>
      </c>
      <c r="F58" s="246">
        <f t="shared" si="196"/>
        <v>0.16494461785247966</v>
      </c>
      <c r="G58" s="246">
        <f t="shared" si="196"/>
        <v>0.16534540472761283</v>
      </c>
      <c r="H58" s="246">
        <f t="shared" ref="H58:AO58" si="197">H57/H$3/4</f>
        <v>0.1605507684409018</v>
      </c>
      <c r="I58" s="246">
        <f t="shared" si="197"/>
        <v>0.1668555255209663</v>
      </c>
      <c r="J58" s="246">
        <f t="shared" si="197"/>
        <v>0.18462338494950559</v>
      </c>
      <c r="K58" s="246">
        <f t="shared" si="197"/>
        <v>0.17780231622732301</v>
      </c>
      <c r="L58" s="246">
        <f t="shared" si="197"/>
        <v>0.17138938567242598</v>
      </c>
      <c r="M58" s="246">
        <f t="shared" si="197"/>
        <v>0.17129083607509193</v>
      </c>
      <c r="N58" s="246">
        <f t="shared" si="197"/>
        <v>0.1693980388596332</v>
      </c>
      <c r="O58" s="246">
        <f t="shared" si="197"/>
        <v>0.15636727822760538</v>
      </c>
      <c r="P58" s="246">
        <f t="shared" si="197"/>
        <v>0.15670935096153846</v>
      </c>
      <c r="Q58" s="246">
        <f t="shared" si="197"/>
        <v>0.15494861586890102</v>
      </c>
      <c r="R58" s="246">
        <f t="shared" si="197"/>
        <v>0.15335898482394902</v>
      </c>
      <c r="S58" s="246">
        <f t="shared" si="197"/>
        <v>0.13156753457149598</v>
      </c>
      <c r="T58" s="246">
        <f t="shared" si="197"/>
        <v>0.1340861082953152</v>
      </c>
      <c r="U58" s="246">
        <f t="shared" si="197"/>
        <v>0.13069702708443706</v>
      </c>
      <c r="V58" s="246">
        <f t="shared" si="197"/>
        <v>0.14052638129110639</v>
      </c>
      <c r="W58" s="246">
        <f t="shared" si="197"/>
        <v>0.15415732329837237</v>
      </c>
      <c r="X58" s="246">
        <f t="shared" si="197"/>
        <v>0.14959311464108488</v>
      </c>
      <c r="Y58" s="246">
        <f t="shared" si="197"/>
        <v>0.14518294688170155</v>
      </c>
      <c r="Z58" s="246">
        <f t="shared" si="197"/>
        <v>0.15891675282328616</v>
      </c>
      <c r="AA58" s="246">
        <f t="shared" si="197"/>
        <v>0.14538275423481375</v>
      </c>
      <c r="AB58" s="246">
        <f t="shared" si="197"/>
        <v>0.13726295529154292</v>
      </c>
      <c r="AC58" s="246">
        <f t="shared" si="197"/>
        <v>0.13845607833311901</v>
      </c>
      <c r="AD58" s="246">
        <f t="shared" si="197"/>
        <v>0.15128946785740643</v>
      </c>
      <c r="AE58" s="246">
        <f t="shared" si="197"/>
        <v>0.14802719061122036</v>
      </c>
      <c r="AF58" s="246">
        <f t="shared" si="197"/>
        <v>0.13972394999305193</v>
      </c>
      <c r="AG58" s="246">
        <f t="shared" si="197"/>
        <v>0.13437646090472194</v>
      </c>
      <c r="AH58" s="246">
        <f t="shared" si="197"/>
        <v>0.15310065348632521</v>
      </c>
      <c r="AI58" s="246">
        <f t="shared" si="197"/>
        <v>0.15372967017344327</v>
      </c>
      <c r="AJ58" s="246">
        <f t="shared" si="197"/>
        <v>0.15076572624282419</v>
      </c>
      <c r="AK58" s="246">
        <f t="shared" si="197"/>
        <v>0.14544188070385802</v>
      </c>
      <c r="AL58" s="246">
        <f t="shared" si="197"/>
        <v>0.16115667244993853</v>
      </c>
      <c r="AM58" s="246">
        <f t="shared" si="197"/>
        <v>0.16108475479744136</v>
      </c>
      <c r="AN58" s="246">
        <f t="shared" si="197"/>
        <v>0.15690173378076064</v>
      </c>
      <c r="AO58" s="246">
        <f t="shared" si="197"/>
        <v>0.15419536963024491</v>
      </c>
      <c r="AP58" s="360">
        <f t="shared" ref="AP58:AS58" si="198">+AO58</f>
        <v>0.15419536963024491</v>
      </c>
      <c r="AQ58" s="360">
        <f t="shared" si="198"/>
        <v>0.15419536963024491</v>
      </c>
      <c r="AR58" s="360">
        <f t="shared" si="198"/>
        <v>0.15419536963024491</v>
      </c>
      <c r="AS58" s="360">
        <f t="shared" si="198"/>
        <v>0.15419536963024491</v>
      </c>
      <c r="AU58" s="360">
        <v>0.15690173378076064</v>
      </c>
      <c r="AW58" s="413">
        <f t="shared" ref="AW58:BX58" si="199">AW57/AW$3</f>
        <v>0.18709443281362576</v>
      </c>
      <c r="AX58" s="413">
        <f t="shared" si="199"/>
        <v>0.20131531004027267</v>
      </c>
      <c r="AY58" s="413">
        <f t="shared" si="199"/>
        <v>0.20973099507636955</v>
      </c>
      <c r="AZ58" s="413">
        <f t="shared" si="199"/>
        <v>0.20939718882505842</v>
      </c>
      <c r="BA58" s="413">
        <f t="shared" si="199"/>
        <v>0.22258865399062489</v>
      </c>
      <c r="BB58" s="413">
        <f t="shared" si="199"/>
        <v>0.2246807289246299</v>
      </c>
      <c r="BC58" s="413">
        <f t="shared" si="199"/>
        <v>0.21873321836760792</v>
      </c>
      <c r="BD58" s="413">
        <f t="shared" si="199"/>
        <v>0.2080836373357744</v>
      </c>
      <c r="BE58" s="413">
        <f t="shared" si="199"/>
        <v>0.20150939489282546</v>
      </c>
      <c r="BF58" s="413">
        <f t="shared" si="199"/>
        <v>0.18236954399398697</v>
      </c>
      <c r="BG58" s="413">
        <f t="shared" si="199"/>
        <v>0.16596146792262448</v>
      </c>
      <c r="BH58" s="413">
        <f t="shared" si="199"/>
        <v>0.18074259912208832</v>
      </c>
      <c r="BI58" s="413">
        <f t="shared" si="199"/>
        <v>0.1658170462258696</v>
      </c>
      <c r="BJ58" s="413">
        <f t="shared" si="199"/>
        <v>0.17345472503426887</v>
      </c>
      <c r="BK58" s="413">
        <f t="shared" si="199"/>
        <v>0.20139263304734187</v>
      </c>
      <c r="BL58" s="413">
        <f t="shared" si="199"/>
        <v>0.18022774438104402</v>
      </c>
      <c r="BM58" s="413">
        <f t="shared" si="199"/>
        <v>0.16358380532926006</v>
      </c>
      <c r="BN58" s="413">
        <f t="shared" si="199"/>
        <v>0.17362897321809403</v>
      </c>
      <c r="BO58" s="413">
        <f t="shared" si="199"/>
        <v>0.14854636527822532</v>
      </c>
      <c r="BP58" s="246">
        <f t="shared" si="199"/>
        <v>0.15779594644407738</v>
      </c>
      <c r="BQ58" s="246">
        <f t="shared" si="199"/>
        <v>0.16669025063973295</v>
      </c>
      <c r="BR58" s="246">
        <f t="shared" si="199"/>
        <v>0.1725815065952884</v>
      </c>
      <c r="BS58" s="246">
        <f t="shared" si="199"/>
        <v>0.15389096632855817</v>
      </c>
      <c r="BT58" s="246">
        <f t="shared" si="199"/>
        <v>0.12958385127945493</v>
      </c>
      <c r="BU58" s="246">
        <f t="shared" si="199"/>
        <v>0.14513075169185424</v>
      </c>
      <c r="BV58" s="246">
        <f t="shared" si="199"/>
        <v>0.13876323977361144</v>
      </c>
      <c r="BW58" s="246">
        <f t="shared" si="199"/>
        <v>0.13482677170642368</v>
      </c>
      <c r="BX58" s="246">
        <f t="shared" si="199"/>
        <v>0.14623648549596399</v>
      </c>
      <c r="BY58" s="246">
        <f>BY57/BY$3</f>
        <v>0.15659244787431498</v>
      </c>
      <c r="BZ58" s="246">
        <f>BZ57/BZ$3</f>
        <v>0.15678351286278683</v>
      </c>
      <c r="CA58" s="360">
        <f>+BZ58</f>
        <v>0.15678351286278683</v>
      </c>
      <c r="CB58" s="360">
        <f>+CA58</f>
        <v>0.15678351286278683</v>
      </c>
      <c r="CC58" s="360">
        <f>+CB58</f>
        <v>0.15678351286278683</v>
      </c>
      <c r="CD58" s="360">
        <f>+CC58</f>
        <v>0.15678351286278683</v>
      </c>
    </row>
    <row r="59" spans="1:990 1025:2040 2075:3055 3090:4070 4105:5120 5155:6135 6170:7150 7185:8165 8200:9215 9250:10230 10265:11245 11280:12260 12295:13310 13345:14325 14360:15340 15375:16355" ht="13.5" customHeight="1">
      <c r="A59" s="260" t="s">
        <v>95</v>
      </c>
      <c r="B59" s="249">
        <v>2323.451</v>
      </c>
      <c r="C59" s="249">
        <v>2650.2710000000002</v>
      </c>
      <c r="D59" s="249">
        <v>2989.3879999999999</v>
      </c>
      <c r="E59" s="249">
        <v>2861.1979999999999</v>
      </c>
      <c r="F59" s="249">
        <v>3178.1619999999998</v>
      </c>
      <c r="G59" s="249">
        <v>3441.674</v>
      </c>
      <c r="H59" s="249">
        <v>3201.4009999999998</v>
      </c>
      <c r="I59" s="249">
        <v>3174.694</v>
      </c>
      <c r="J59" s="249">
        <v>3402</v>
      </c>
      <c r="K59" s="249">
        <v>3676.634</v>
      </c>
      <c r="L59" s="249">
        <v>3696.5770000000002</v>
      </c>
      <c r="M59" s="249">
        <v>3712.0030000000002</v>
      </c>
      <c r="N59" s="249">
        <v>3837</v>
      </c>
      <c r="O59" s="249">
        <v>3332</v>
      </c>
      <c r="P59" s="249">
        <v>3281.8029999999999</v>
      </c>
      <c r="Q59" s="249">
        <v>3225.703</v>
      </c>
      <c r="R59" s="249">
        <v>3503.8870000000002</v>
      </c>
      <c r="S59" s="249">
        <v>3839.6950000000002</v>
      </c>
      <c r="T59" s="249">
        <v>3864.3240000000001</v>
      </c>
      <c r="U59" s="249">
        <v>3792.471</v>
      </c>
      <c r="V59" s="249">
        <v>3937.2660000000001</v>
      </c>
      <c r="W59" s="249">
        <v>3988.6460000000002</v>
      </c>
      <c r="X59" s="249">
        <v>4093.8820000000001</v>
      </c>
      <c r="Y59" s="249">
        <v>4462.12</v>
      </c>
      <c r="Z59" s="249">
        <v>4280.009</v>
      </c>
      <c r="AA59" s="249">
        <v>4667.6180000000004</v>
      </c>
      <c r="AB59" s="249">
        <v>4710.4639999999999</v>
      </c>
      <c r="AC59" s="249">
        <v>4598.3059999999996</v>
      </c>
      <c r="AD59" s="249">
        <v>4611.808</v>
      </c>
      <c r="AE59" s="249">
        <v>4443.1319999999996</v>
      </c>
      <c r="AF59" s="249">
        <v>4424.6899999999996</v>
      </c>
      <c r="AG59" s="249">
        <v>4113.4589999999998</v>
      </c>
      <c r="AH59" s="249">
        <v>4168.8500000000004</v>
      </c>
      <c r="AI59" s="249">
        <v>4035.7130000000002</v>
      </c>
      <c r="AJ59" s="249">
        <v>4323.08</v>
      </c>
      <c r="AK59" s="249">
        <v>4197.6120000000001</v>
      </c>
      <c r="AL59" s="249">
        <v>4489.3909999999996</v>
      </c>
      <c r="AM59" s="249">
        <v>4532.9269999999997</v>
      </c>
      <c r="AN59" s="249">
        <v>4238.8599999999997</v>
      </c>
      <c r="AO59" s="249">
        <v>4309.2610000000004</v>
      </c>
      <c r="AP59" s="296">
        <f t="shared" ref="AP59:AS59" si="200">AP60*AP3*4</f>
        <v>4325.1190279519878</v>
      </c>
      <c r="AQ59" s="296">
        <f t="shared" si="200"/>
        <v>4420.7858546107118</v>
      </c>
      <c r="AR59" s="296">
        <f t="shared" si="200"/>
        <v>4213.4142366972028</v>
      </c>
      <c r="AS59" s="296">
        <f t="shared" si="200"/>
        <v>4416.9925250000006</v>
      </c>
      <c r="AU59" s="296">
        <v>4418.1064253707382</v>
      </c>
      <c r="AW59" s="249">
        <v>830.029</v>
      </c>
      <c r="AX59" s="249">
        <v>906.65599999999995</v>
      </c>
      <c r="AY59" s="249">
        <v>1119.212</v>
      </c>
      <c r="AZ59" s="249">
        <v>1210.095</v>
      </c>
      <c r="BA59" s="249">
        <v>1193.529</v>
      </c>
      <c r="BB59" s="249">
        <v>1100.855</v>
      </c>
      <c r="BC59" s="249">
        <v>1404.999</v>
      </c>
      <c r="BD59" s="249">
        <v>1591.25</v>
      </c>
      <c r="BE59" s="249">
        <v>1725.96</v>
      </c>
      <c r="BF59" s="249">
        <v>1552.3910000000001</v>
      </c>
      <c r="BG59" s="249">
        <v>1654.1</v>
      </c>
      <c r="BH59" s="249">
        <v>1889.7349999999999</v>
      </c>
      <c r="BI59" s="249">
        <v>1681.6320000000001</v>
      </c>
      <c r="BJ59" s="249">
        <v>1915.377</v>
      </c>
      <c r="BK59" s="249">
        <v>2092.5949999999998</v>
      </c>
      <c r="BL59" s="249">
        <v>1950.268</v>
      </c>
      <c r="BM59" s="249">
        <v>1844.5340000000001</v>
      </c>
      <c r="BN59" s="249">
        <v>1887.357</v>
      </c>
      <c r="BO59" s="249">
        <v>2226.509</v>
      </c>
      <c r="BP59" s="249">
        <v>2861.1979999999999</v>
      </c>
      <c r="BQ59" s="249">
        <f t="shared" si="194"/>
        <v>3174.694</v>
      </c>
      <c r="BR59" s="249">
        <f t="shared" si="194"/>
        <v>3712.0030000000002</v>
      </c>
      <c r="BS59" s="249">
        <f t="shared" si="194"/>
        <v>3225.703</v>
      </c>
      <c r="BT59" s="249">
        <f t="shared" si="194"/>
        <v>3792.471</v>
      </c>
      <c r="BU59" s="249">
        <f t="shared" si="194"/>
        <v>4462.12</v>
      </c>
      <c r="BV59" s="249">
        <f t="shared" si="194"/>
        <v>4598.3059999999996</v>
      </c>
      <c r="BW59" s="249">
        <f t="shared" si="194"/>
        <v>4113.4589999999998</v>
      </c>
      <c r="BX59" s="249">
        <f>+SUMIFS($B59:$AO59,$B$2:$AO$2,"="&amp;BX$2)</f>
        <v>4197.6120000000001</v>
      </c>
      <c r="BY59" s="249">
        <f>+SUMIFS($B59:$AS59,$B$2:$AS$2,"="&amp;BY$2)</f>
        <v>4309.2610000000004</v>
      </c>
      <c r="BZ59" s="249">
        <f>+SUMIFS($B59:$AS59,$B$2:$AS$2,"="&amp;BZ$2)</f>
        <v>4416.9925250000006</v>
      </c>
      <c r="CA59" s="296">
        <f>CA60*CA3</f>
        <v>4505.332375500001</v>
      </c>
      <c r="CB59" s="296">
        <f>CB60*CB3</f>
        <v>4595.4390230100007</v>
      </c>
      <c r="CC59" s="296">
        <f>CC60*CC3</f>
        <v>4687.3478034702011</v>
      </c>
      <c r="CD59" s="296">
        <f>CD60*CD3</f>
        <v>4781.0947595396046</v>
      </c>
    </row>
    <row r="60" spans="1:990 1025:2040 2075:3055 3090:4070 4105:5120 5155:6135 6170:7150 7185:8165 8200:9215 9250:10230 10265:11245 11280:12260 12295:13310 13345:14325 14360:15340 15375:16355" s="246" customFormat="1" ht="13.5" customHeight="1">
      <c r="A60" s="274" t="s">
        <v>94</v>
      </c>
      <c r="B60" s="246">
        <f>B59/B$3/4</f>
        <v>6.6549227073214701E-2</v>
      </c>
      <c r="C60" s="246">
        <f t="shared" ref="C60:M60" si="201">C59/C$3/4</f>
        <v>7.5024489452522186E-2</v>
      </c>
      <c r="D60" s="246">
        <f t="shared" si="201"/>
        <v>8.571026842611873E-2</v>
      </c>
      <c r="E60" s="246">
        <f t="shared" si="201"/>
        <v>7.6248447954455137E-2</v>
      </c>
      <c r="F60" s="246">
        <f t="shared" si="201"/>
        <v>8.3368116369033005E-2</v>
      </c>
      <c r="G60" s="246">
        <f t="shared" si="201"/>
        <v>8.9571831076822012E-2</v>
      </c>
      <c r="H60" s="246">
        <f t="shared" si="201"/>
        <v>8.7020518830664653E-2</v>
      </c>
      <c r="I60" s="246">
        <f>I59/I$3/4</f>
        <v>8.4146108475663076E-2</v>
      </c>
      <c r="J60" s="246">
        <f t="shared" si="201"/>
        <v>8.3322997558797823E-2</v>
      </c>
      <c r="K60" s="246">
        <f t="shared" si="201"/>
        <v>8.6806440286051084E-2</v>
      </c>
      <c r="L60" s="246">
        <f t="shared" si="201"/>
        <v>9.3376199858542994E-2</v>
      </c>
      <c r="M60" s="246">
        <f t="shared" si="201"/>
        <v>8.9800730598025943E-2</v>
      </c>
      <c r="N60" s="246">
        <f t="shared" ref="N60:AM60" si="202">N59/N$3/4</f>
        <v>8.7093698928636276E-2</v>
      </c>
      <c r="O60" s="246">
        <f t="shared" si="202"/>
        <v>7.3808722347978625E-2</v>
      </c>
      <c r="P60" s="246">
        <f t="shared" si="202"/>
        <v>7.8889495192307688E-2</v>
      </c>
      <c r="Q60" s="246">
        <f t="shared" si="202"/>
        <v>7.4662137765021758E-2</v>
      </c>
      <c r="R60" s="246">
        <f t="shared" si="202"/>
        <v>7.4919083070324091E-2</v>
      </c>
      <c r="S60" s="246">
        <f t="shared" si="202"/>
        <v>7.7806889682708297E-2</v>
      </c>
      <c r="T60" s="246">
        <f t="shared" si="202"/>
        <v>8.7056919908671787E-2</v>
      </c>
      <c r="U60" s="246">
        <f t="shared" si="202"/>
        <v>8.1901770854002395E-2</v>
      </c>
      <c r="V60" s="246">
        <f t="shared" si="202"/>
        <v>8.1288149892736625E-2</v>
      </c>
      <c r="W60" s="246">
        <f t="shared" si="202"/>
        <v>8.5065940592471495E-2</v>
      </c>
      <c r="X60" s="246">
        <f t="shared" si="202"/>
        <v>9.0225362741096438E-2</v>
      </c>
      <c r="Y60" s="246">
        <f t="shared" si="202"/>
        <v>9.5187620805244288E-2</v>
      </c>
      <c r="Z60" s="246">
        <f t="shared" si="202"/>
        <v>8.5096409257197386E-2</v>
      </c>
      <c r="AA60" s="246">
        <f t="shared" si="202"/>
        <v>9.0493903724753189E-2</v>
      </c>
      <c r="AB60" s="246">
        <f t="shared" si="202"/>
        <v>9.2044395810536181E-2</v>
      </c>
      <c r="AC60" s="246">
        <f t="shared" si="202"/>
        <v>8.9866584949149994E-2</v>
      </c>
      <c r="AD60" s="246">
        <f t="shared" si="202"/>
        <v>8.5094988560041329E-2</v>
      </c>
      <c r="AE60" s="246">
        <f t="shared" si="202"/>
        <v>8.0995855935421648E-2</v>
      </c>
      <c r="AF60" s="246">
        <f t="shared" si="202"/>
        <v>8.7288802522047834E-2</v>
      </c>
      <c r="AG60" s="246">
        <f t="shared" si="202"/>
        <v>7.6907652237162782E-2</v>
      </c>
      <c r="AH60" s="246">
        <f t="shared" si="202"/>
        <v>7.5579729530499754E-2</v>
      </c>
      <c r="AI60" s="246">
        <f t="shared" si="202"/>
        <v>7.1717959198180276E-2</v>
      </c>
      <c r="AJ60" s="246">
        <f t="shared" si="202"/>
        <v>8.2158867793833287E-2</v>
      </c>
      <c r="AK60" s="246">
        <f t="shared" si="202"/>
        <v>7.6206578931315799E-2</v>
      </c>
      <c r="AL60" s="246">
        <f t="shared" si="202"/>
        <v>8.1135527362105109E-2</v>
      </c>
      <c r="AM60" s="246">
        <f t="shared" si="202"/>
        <v>8.0542412935323382E-2</v>
      </c>
      <c r="AN60" s="246">
        <f t="shared" ref="AN60:AO60" si="203">AN59/AN$3/4</f>
        <v>7.9024235645041005E-2</v>
      </c>
      <c r="AO60" s="246">
        <f t="shared" si="203"/>
        <v>7.6634005141725386E-2</v>
      </c>
      <c r="AP60" s="360">
        <f t="shared" ref="AP60:AS60" si="204">+AO60</f>
        <v>7.6634005141725386E-2</v>
      </c>
      <c r="AQ60" s="360">
        <f t="shared" si="204"/>
        <v>7.6634005141725386E-2</v>
      </c>
      <c r="AR60" s="360">
        <f t="shared" si="204"/>
        <v>7.6634005141725386E-2</v>
      </c>
      <c r="AS60" s="360">
        <f t="shared" si="204"/>
        <v>7.6634005141725386E-2</v>
      </c>
      <c r="AU60" s="360">
        <v>7.9024235645041005E-2</v>
      </c>
      <c r="AW60" s="246">
        <f t="shared" ref="AW60:BX60" si="205">AW59/AW$3</f>
        <v>8.0542527151829482E-2</v>
      </c>
      <c r="AX60" s="246">
        <f t="shared" si="205"/>
        <v>7.377349177678981E-2</v>
      </c>
      <c r="AY60" s="246">
        <f t="shared" si="205"/>
        <v>8.0703351878849361E-2</v>
      </c>
      <c r="AZ60" s="246">
        <f t="shared" si="205"/>
        <v>7.6076106345795716E-2</v>
      </c>
      <c r="BA60" s="246">
        <f t="shared" si="205"/>
        <v>7.6342102814035223E-2</v>
      </c>
      <c r="BB60" s="246">
        <f t="shared" si="205"/>
        <v>6.839290906334726E-2</v>
      </c>
      <c r="BC60" s="246">
        <f t="shared" si="205"/>
        <v>8.2162872191497052E-2</v>
      </c>
      <c r="BD60" s="246">
        <f t="shared" si="205"/>
        <v>8.0370590116859472E-2</v>
      </c>
      <c r="BE60" s="246">
        <f t="shared" si="205"/>
        <v>7.8512989560987581E-2</v>
      </c>
      <c r="BF60" s="246">
        <f t="shared" si="205"/>
        <v>7.7293094884446051E-2</v>
      </c>
      <c r="BG60" s="246">
        <f t="shared" si="205"/>
        <v>7.7005682387151012E-2</v>
      </c>
      <c r="BH60" s="246">
        <f t="shared" si="205"/>
        <v>8.1978751771791897E-2</v>
      </c>
      <c r="BI60" s="246">
        <f t="shared" si="205"/>
        <v>6.8076184447810675E-2</v>
      </c>
      <c r="BJ60" s="246">
        <f t="shared" si="205"/>
        <v>7.3115706708971523E-2</v>
      </c>
      <c r="BK60" s="246">
        <f t="shared" si="205"/>
        <v>7.8279403673065726E-2</v>
      </c>
      <c r="BL60" s="246">
        <f t="shared" si="205"/>
        <v>6.6587896612152447E-2</v>
      </c>
      <c r="BM60" s="246">
        <f t="shared" si="205"/>
        <v>6.2152573685749175E-2</v>
      </c>
      <c r="BN60" s="246">
        <f t="shared" si="205"/>
        <v>6.484235860194161E-2</v>
      </c>
      <c r="BO60" s="246">
        <f t="shared" si="205"/>
        <v>6.9132857942968431E-2</v>
      </c>
      <c r="BP60" s="246">
        <f t="shared" si="205"/>
        <v>8.0234838214322118E-2</v>
      </c>
      <c r="BQ60" s="246">
        <f t="shared" si="205"/>
        <v>8.4062759494314437E-2</v>
      </c>
      <c r="BR60" s="246">
        <f t="shared" si="205"/>
        <v>9.0477375994421613E-2</v>
      </c>
      <c r="BS60" s="246">
        <f t="shared" si="205"/>
        <v>7.4152508329189931E-2</v>
      </c>
      <c r="BT60" s="246">
        <f t="shared" si="205"/>
        <v>8.1204195157495052E-2</v>
      </c>
      <c r="BU60" s="246">
        <f t="shared" si="205"/>
        <v>9.5153399596446989E-2</v>
      </c>
      <c r="BV60" s="246">
        <f t="shared" si="205"/>
        <v>9.0065951780981687E-2</v>
      </c>
      <c r="BW60" s="246">
        <f t="shared" si="205"/>
        <v>7.7165378525701295E-2</v>
      </c>
      <c r="BX60" s="246">
        <f t="shared" si="205"/>
        <v>7.6622924708170281E-2</v>
      </c>
      <c r="BY60" s="246">
        <f>BY59/BY$3</f>
        <v>7.7825336028779155E-2</v>
      </c>
      <c r="BZ60" s="246">
        <f>BZ59/BZ$3</f>
        <v>7.7920293973003221E-2</v>
      </c>
      <c r="CA60" s="360">
        <f>+BZ60</f>
        <v>7.7920293973003221E-2</v>
      </c>
      <c r="CB60" s="360">
        <f>+CA60</f>
        <v>7.7920293973003221E-2</v>
      </c>
      <c r="CC60" s="360">
        <f>+CB60</f>
        <v>7.7920293973003221E-2</v>
      </c>
      <c r="CD60" s="360">
        <f>+CC60</f>
        <v>7.7920293973003221E-2</v>
      </c>
      <c r="DK60" s="274"/>
      <c r="ET60" s="274"/>
      <c r="GC60" s="274"/>
      <c r="HL60" s="274"/>
      <c r="IU60" s="274"/>
      <c r="KD60" s="274"/>
      <c r="LM60" s="274"/>
      <c r="MV60" s="274"/>
      <c r="OE60" s="274"/>
      <c r="PN60" s="274"/>
      <c r="QW60" s="274"/>
      <c r="SF60" s="274"/>
      <c r="TO60" s="274"/>
      <c r="UX60" s="274"/>
      <c r="WG60" s="274"/>
      <c r="XP60" s="274"/>
      <c r="YY60" s="274"/>
      <c r="AAH60" s="274"/>
      <c r="ABQ60" s="274"/>
      <c r="ACZ60" s="274"/>
      <c r="AEI60" s="274"/>
      <c r="AFR60" s="274"/>
      <c r="AHA60" s="274"/>
      <c r="AIJ60" s="274"/>
      <c r="AJS60" s="274"/>
      <c r="ALB60" s="274"/>
      <c r="AMK60" s="274"/>
      <c r="ANT60" s="274"/>
      <c r="APC60" s="274"/>
      <c r="AQL60" s="274"/>
      <c r="ARU60" s="274"/>
      <c r="ATD60" s="274"/>
      <c r="AUM60" s="274"/>
      <c r="AVV60" s="274"/>
      <c r="AXE60" s="274"/>
      <c r="AYN60" s="274"/>
      <c r="AZW60" s="274"/>
      <c r="BBF60" s="274"/>
      <c r="BCO60" s="274"/>
      <c r="BDX60" s="274"/>
      <c r="BFG60" s="274"/>
      <c r="BGP60" s="274"/>
      <c r="BHY60" s="274"/>
      <c r="BJH60" s="274"/>
      <c r="BKQ60" s="274"/>
      <c r="BLZ60" s="274"/>
      <c r="BNI60" s="274"/>
      <c r="BOR60" s="274"/>
      <c r="BQA60" s="274"/>
      <c r="BRJ60" s="274"/>
      <c r="BSS60" s="274"/>
      <c r="BUB60" s="274"/>
      <c r="BVK60" s="274"/>
      <c r="BWT60" s="274"/>
      <c r="BYC60" s="274"/>
      <c r="BZL60" s="274"/>
      <c r="CAU60" s="274"/>
      <c r="CCD60" s="274"/>
      <c r="CDM60" s="274"/>
      <c r="CEV60" s="274"/>
      <c r="CGE60" s="274"/>
      <c r="CHN60" s="274"/>
      <c r="CIW60" s="274"/>
      <c r="CKF60" s="274"/>
      <c r="CLO60" s="274"/>
      <c r="CMX60" s="274"/>
      <c r="COG60" s="274"/>
      <c r="CPP60" s="274"/>
      <c r="CQY60" s="274"/>
      <c r="CSH60" s="274"/>
      <c r="CTQ60" s="274"/>
      <c r="CUZ60" s="274"/>
      <c r="CWI60" s="274"/>
      <c r="CXR60" s="274"/>
      <c r="CZA60" s="274"/>
      <c r="DAJ60" s="274"/>
      <c r="DBS60" s="274"/>
      <c r="DDB60" s="274"/>
      <c r="DEK60" s="274"/>
      <c r="DFT60" s="274"/>
      <c r="DHC60" s="274"/>
      <c r="DIL60" s="274"/>
      <c r="DJU60" s="274"/>
      <c r="DLD60" s="274"/>
      <c r="DMM60" s="274"/>
      <c r="DNV60" s="274"/>
      <c r="DPE60" s="274"/>
      <c r="DQN60" s="274"/>
      <c r="DRW60" s="274"/>
      <c r="DTF60" s="274"/>
      <c r="DUO60" s="274"/>
      <c r="DVX60" s="274"/>
      <c r="DXG60" s="274"/>
      <c r="DYP60" s="274"/>
      <c r="DZY60" s="274"/>
      <c r="EBH60" s="274"/>
      <c r="ECQ60" s="274"/>
      <c r="EDZ60" s="274"/>
      <c r="EFI60" s="274"/>
      <c r="EGR60" s="274"/>
      <c r="EIA60" s="274"/>
      <c r="EJJ60" s="274"/>
      <c r="EKS60" s="274"/>
      <c r="EMB60" s="274"/>
      <c r="ENK60" s="274"/>
      <c r="EOT60" s="274"/>
      <c r="EQC60" s="274"/>
      <c r="ERL60" s="274"/>
      <c r="ESU60" s="274"/>
      <c r="EUD60" s="274"/>
      <c r="EVM60" s="274"/>
      <c r="EWV60" s="274"/>
      <c r="EYE60" s="274"/>
      <c r="EZN60" s="274"/>
      <c r="FAW60" s="274"/>
      <c r="FCF60" s="274"/>
      <c r="FDO60" s="274"/>
      <c r="FEX60" s="274"/>
      <c r="FGG60" s="274"/>
      <c r="FHP60" s="274"/>
      <c r="FIY60" s="274"/>
      <c r="FKH60" s="274"/>
      <c r="FLQ60" s="274"/>
      <c r="FMZ60" s="274"/>
      <c r="FOI60" s="274"/>
      <c r="FPR60" s="274"/>
      <c r="FRA60" s="274"/>
      <c r="FSJ60" s="274"/>
      <c r="FTS60" s="274"/>
      <c r="FVB60" s="274"/>
      <c r="FWK60" s="274"/>
      <c r="FXT60" s="274"/>
      <c r="FZC60" s="274"/>
      <c r="GAL60" s="274"/>
      <c r="GBU60" s="274"/>
      <c r="GDD60" s="274"/>
      <c r="GEM60" s="274"/>
      <c r="GFV60" s="274"/>
      <c r="GHE60" s="274"/>
      <c r="GIN60" s="274"/>
      <c r="GJW60" s="274"/>
      <c r="GLF60" s="274"/>
      <c r="GMO60" s="274"/>
      <c r="GNX60" s="274"/>
      <c r="GPG60" s="274"/>
      <c r="GQP60" s="274"/>
      <c r="GRY60" s="274"/>
      <c r="GTH60" s="274"/>
      <c r="GUQ60" s="274"/>
      <c r="GVZ60" s="274"/>
      <c r="GXI60" s="274"/>
      <c r="GYR60" s="274"/>
      <c r="HAA60" s="274"/>
      <c r="HBJ60" s="274"/>
      <c r="HCS60" s="274"/>
      <c r="HEB60" s="274"/>
      <c r="HFK60" s="274"/>
      <c r="HGT60" s="274"/>
      <c r="HIC60" s="274"/>
      <c r="HJL60" s="274"/>
      <c r="HKU60" s="274"/>
      <c r="HMD60" s="274"/>
      <c r="HNM60" s="274"/>
      <c r="HOV60" s="274"/>
      <c r="HQE60" s="274"/>
      <c r="HRN60" s="274"/>
      <c r="HSW60" s="274"/>
      <c r="HUF60" s="274"/>
      <c r="HVO60" s="274"/>
      <c r="HWX60" s="274"/>
      <c r="HYG60" s="274"/>
      <c r="HZP60" s="274"/>
      <c r="IAY60" s="274"/>
      <c r="ICH60" s="274"/>
      <c r="IDQ60" s="274"/>
      <c r="IEZ60" s="274"/>
      <c r="IGI60" s="274"/>
      <c r="IHR60" s="274"/>
      <c r="IJA60" s="274"/>
      <c r="IKJ60" s="274"/>
      <c r="ILS60" s="274"/>
      <c r="INB60" s="274"/>
      <c r="IOK60" s="274"/>
      <c r="IPT60" s="274"/>
      <c r="IRC60" s="274"/>
      <c r="ISL60" s="274"/>
      <c r="ITU60" s="274"/>
      <c r="IVD60" s="274"/>
      <c r="IWM60" s="274"/>
      <c r="IXV60" s="274"/>
      <c r="IZE60" s="274"/>
      <c r="JAN60" s="274"/>
      <c r="JBW60" s="274"/>
      <c r="JDF60" s="274"/>
      <c r="JEO60" s="274"/>
      <c r="JFX60" s="274"/>
      <c r="JHG60" s="274"/>
      <c r="JIP60" s="274"/>
      <c r="JJY60" s="274"/>
      <c r="JLH60" s="274"/>
      <c r="JMQ60" s="274"/>
      <c r="JNZ60" s="274"/>
      <c r="JPI60" s="274"/>
      <c r="JQR60" s="274"/>
      <c r="JSA60" s="274"/>
      <c r="JTJ60" s="274"/>
      <c r="JUS60" s="274"/>
      <c r="JWB60" s="274"/>
      <c r="JXK60" s="274"/>
      <c r="JYT60" s="274"/>
      <c r="KAC60" s="274"/>
      <c r="KBL60" s="274"/>
      <c r="KCU60" s="274"/>
      <c r="KED60" s="274"/>
      <c r="KFM60" s="274"/>
      <c r="KGV60" s="274"/>
      <c r="KIE60" s="274"/>
      <c r="KJN60" s="274"/>
      <c r="KKW60" s="274"/>
      <c r="KMF60" s="274"/>
      <c r="KNO60" s="274"/>
      <c r="KOX60" s="274"/>
      <c r="KQG60" s="274"/>
      <c r="KRP60" s="274"/>
      <c r="KSY60" s="274"/>
      <c r="KUH60" s="274"/>
      <c r="KVQ60" s="274"/>
      <c r="KWZ60" s="274"/>
      <c r="KYI60" s="274"/>
      <c r="KZR60" s="274"/>
      <c r="LBA60" s="274"/>
      <c r="LCJ60" s="274"/>
      <c r="LDS60" s="274"/>
      <c r="LFB60" s="274"/>
      <c r="LGK60" s="274"/>
      <c r="LHT60" s="274"/>
      <c r="LJC60" s="274"/>
      <c r="LKL60" s="274"/>
      <c r="LLU60" s="274"/>
      <c r="LND60" s="274"/>
      <c r="LOM60" s="274"/>
      <c r="LPV60" s="274"/>
      <c r="LRE60" s="274"/>
      <c r="LSN60" s="274"/>
      <c r="LTW60" s="274"/>
      <c r="LVF60" s="274"/>
      <c r="LWO60" s="274"/>
      <c r="LXX60" s="274"/>
      <c r="LZG60" s="274"/>
      <c r="MAP60" s="274"/>
      <c r="MBY60" s="274"/>
      <c r="MDH60" s="274"/>
      <c r="MEQ60" s="274"/>
      <c r="MFZ60" s="274"/>
      <c r="MHI60" s="274"/>
      <c r="MIR60" s="274"/>
      <c r="MKA60" s="274"/>
      <c r="MLJ60" s="274"/>
      <c r="MMS60" s="274"/>
      <c r="MOB60" s="274"/>
      <c r="MPK60" s="274"/>
      <c r="MQT60" s="274"/>
      <c r="MSC60" s="274"/>
      <c r="MTL60" s="274"/>
      <c r="MUU60" s="274"/>
      <c r="MWD60" s="274"/>
      <c r="MXM60" s="274"/>
      <c r="MYV60" s="274"/>
      <c r="NAE60" s="274"/>
      <c r="NBN60" s="274"/>
      <c r="NCW60" s="274"/>
      <c r="NEF60" s="274"/>
      <c r="NFO60" s="274"/>
      <c r="NGX60" s="274"/>
      <c r="NIG60" s="274"/>
      <c r="NJP60" s="274"/>
      <c r="NKY60" s="274"/>
      <c r="NMH60" s="274"/>
      <c r="NNQ60" s="274"/>
      <c r="NOZ60" s="274"/>
      <c r="NQI60" s="274"/>
      <c r="NRR60" s="274"/>
      <c r="NTA60" s="274"/>
      <c r="NUJ60" s="274"/>
      <c r="NVS60" s="274"/>
      <c r="NXB60" s="274"/>
      <c r="NYK60" s="274"/>
      <c r="NZT60" s="274"/>
      <c r="OBC60" s="274"/>
      <c r="OCL60" s="274"/>
      <c r="ODU60" s="274"/>
      <c r="OFD60" s="274"/>
      <c r="OGM60" s="274"/>
      <c r="OHV60" s="274"/>
      <c r="OJE60" s="274"/>
      <c r="OKN60" s="274"/>
      <c r="OLW60" s="274"/>
      <c r="ONF60" s="274"/>
      <c r="OOO60" s="274"/>
      <c r="OPX60" s="274"/>
      <c r="ORG60" s="274"/>
      <c r="OSP60" s="274"/>
      <c r="OTY60" s="274"/>
      <c r="OVH60" s="274"/>
      <c r="OWQ60" s="274"/>
      <c r="OXZ60" s="274"/>
      <c r="OZI60" s="274"/>
      <c r="PAR60" s="274"/>
      <c r="PCA60" s="274"/>
      <c r="PDJ60" s="274"/>
      <c r="PES60" s="274"/>
      <c r="PGB60" s="274"/>
      <c r="PHK60" s="274"/>
      <c r="PIT60" s="274"/>
      <c r="PKC60" s="274"/>
      <c r="PLL60" s="274"/>
      <c r="PMU60" s="274"/>
      <c r="POD60" s="274"/>
      <c r="PPM60" s="274"/>
      <c r="PQV60" s="274"/>
      <c r="PSE60" s="274"/>
      <c r="PTN60" s="274"/>
      <c r="PUW60" s="274"/>
      <c r="PWF60" s="274"/>
      <c r="PXO60" s="274"/>
      <c r="PYX60" s="274"/>
      <c r="QAG60" s="274"/>
      <c r="QBP60" s="274"/>
      <c r="QCY60" s="274"/>
      <c r="QEH60" s="274"/>
      <c r="QFQ60" s="274"/>
      <c r="QGZ60" s="274"/>
      <c r="QII60" s="274"/>
      <c r="QJR60" s="274"/>
      <c r="QLA60" s="274"/>
      <c r="QMJ60" s="274"/>
      <c r="QNS60" s="274"/>
      <c r="QPB60" s="274"/>
      <c r="QQK60" s="274"/>
      <c r="QRT60" s="274"/>
      <c r="QTC60" s="274"/>
      <c r="QUL60" s="274"/>
      <c r="QVU60" s="274"/>
      <c r="QXD60" s="274"/>
      <c r="QYM60" s="274"/>
      <c r="QZV60" s="274"/>
      <c r="RBE60" s="274"/>
      <c r="RCN60" s="274"/>
      <c r="RDW60" s="274"/>
      <c r="RFF60" s="274"/>
      <c r="RGO60" s="274"/>
      <c r="RHX60" s="274"/>
      <c r="RJG60" s="274"/>
      <c r="RKP60" s="274"/>
      <c r="RLY60" s="274"/>
      <c r="RNH60" s="274"/>
      <c r="ROQ60" s="274"/>
      <c r="RPZ60" s="274"/>
      <c r="RRI60" s="274"/>
      <c r="RSR60" s="274"/>
      <c r="RUA60" s="274"/>
      <c r="RVJ60" s="274"/>
      <c r="RWS60" s="274"/>
      <c r="RYB60" s="274"/>
      <c r="RZK60" s="274"/>
      <c r="SAT60" s="274"/>
      <c r="SCC60" s="274"/>
      <c r="SDL60" s="274"/>
      <c r="SEU60" s="274"/>
      <c r="SGD60" s="274"/>
      <c r="SHM60" s="274"/>
      <c r="SIV60" s="274"/>
      <c r="SKE60" s="274"/>
      <c r="SLN60" s="274"/>
      <c r="SMW60" s="274"/>
      <c r="SOF60" s="274"/>
      <c r="SPO60" s="274"/>
      <c r="SQX60" s="274"/>
      <c r="SSG60" s="274"/>
      <c r="STP60" s="274"/>
      <c r="SUY60" s="274"/>
      <c r="SWH60" s="274"/>
      <c r="SXQ60" s="274"/>
      <c r="SYZ60" s="274"/>
      <c r="TAI60" s="274"/>
      <c r="TBR60" s="274"/>
      <c r="TDA60" s="274"/>
      <c r="TEJ60" s="274"/>
      <c r="TFS60" s="274"/>
      <c r="THB60" s="274"/>
      <c r="TIK60" s="274"/>
      <c r="TJT60" s="274"/>
      <c r="TLC60" s="274"/>
      <c r="TML60" s="274"/>
      <c r="TNU60" s="274"/>
      <c r="TPD60" s="274"/>
      <c r="TQM60" s="274"/>
      <c r="TRV60" s="274"/>
      <c r="TTE60" s="274"/>
      <c r="TUN60" s="274"/>
      <c r="TVW60" s="274"/>
      <c r="TXF60" s="274"/>
      <c r="TYO60" s="274"/>
      <c r="TZX60" s="274"/>
      <c r="UBG60" s="274"/>
      <c r="UCP60" s="274"/>
      <c r="UDY60" s="274"/>
      <c r="UFH60" s="274"/>
      <c r="UGQ60" s="274"/>
      <c r="UHZ60" s="274"/>
      <c r="UJI60" s="274"/>
      <c r="UKR60" s="274"/>
      <c r="UMA60" s="274"/>
      <c r="UNJ60" s="274"/>
      <c r="UOS60" s="274"/>
      <c r="UQB60" s="274"/>
      <c r="URK60" s="274"/>
      <c r="UST60" s="274"/>
      <c r="UUC60" s="274"/>
      <c r="UVL60" s="274"/>
      <c r="UWU60" s="274"/>
      <c r="UYD60" s="274"/>
      <c r="UZM60" s="274"/>
      <c r="VAV60" s="274"/>
      <c r="VCE60" s="274"/>
      <c r="VDN60" s="274"/>
      <c r="VEW60" s="274"/>
      <c r="VGF60" s="274"/>
      <c r="VHO60" s="274"/>
      <c r="VIX60" s="274"/>
      <c r="VKG60" s="274"/>
      <c r="VLP60" s="274"/>
      <c r="VMY60" s="274"/>
      <c r="VOH60" s="274"/>
      <c r="VPQ60" s="274"/>
      <c r="VQZ60" s="274"/>
      <c r="VSI60" s="274"/>
      <c r="VTR60" s="274"/>
      <c r="VVA60" s="274"/>
      <c r="VWJ60" s="274"/>
      <c r="VXS60" s="274"/>
      <c r="VZB60" s="274"/>
      <c r="WAK60" s="274"/>
      <c r="WBT60" s="274"/>
      <c r="WDC60" s="274"/>
      <c r="WEL60" s="274"/>
      <c r="WFU60" s="274"/>
      <c r="WHD60" s="274"/>
      <c r="WIM60" s="274"/>
      <c r="WJV60" s="274"/>
      <c r="WLE60" s="274"/>
      <c r="WMN60" s="274"/>
      <c r="WNW60" s="274"/>
      <c r="WPF60" s="274"/>
      <c r="WQO60" s="274"/>
      <c r="WRX60" s="274"/>
      <c r="WTG60" s="274"/>
      <c r="WUP60" s="274"/>
      <c r="WVY60" s="274"/>
      <c r="WXH60" s="274"/>
      <c r="WYQ60" s="274"/>
      <c r="WZZ60" s="274"/>
      <c r="XBI60" s="274"/>
      <c r="XCR60" s="274"/>
      <c r="XEA60" s="274"/>
    </row>
    <row r="61" spans="1:990 1025:2040 2075:3055 3090:4070 4105:5120 5155:6135 6170:7150 7185:8165 8200:9215 9250:10230 10265:11245 11280:12260 12295:13310 13345:14325 14360:15340 15375:16355" ht="13.5" customHeight="1">
      <c r="A61" s="260" t="s">
        <v>96</v>
      </c>
      <c r="B61" s="249">
        <v>0</v>
      </c>
      <c r="C61" s="249">
        <v>0</v>
      </c>
      <c r="D61" s="249">
        <v>2.0000000000000001E-4</v>
      </c>
      <c r="E61" s="249">
        <v>2.0000000000000001E-4</v>
      </c>
      <c r="F61" s="249">
        <v>2.0000000000000001E-4</v>
      </c>
      <c r="G61" s="249">
        <v>0</v>
      </c>
      <c r="H61" s="249">
        <v>0</v>
      </c>
      <c r="I61" s="249">
        <v>0</v>
      </c>
      <c r="J61" s="249">
        <v>2.0000000000000001E-4</v>
      </c>
      <c r="K61" s="249">
        <v>0</v>
      </c>
      <c r="L61" s="249">
        <v>0</v>
      </c>
      <c r="M61" s="249">
        <v>0</v>
      </c>
      <c r="N61" s="249">
        <v>0</v>
      </c>
      <c r="O61" s="249">
        <v>0</v>
      </c>
      <c r="P61" s="249">
        <v>0</v>
      </c>
      <c r="Q61" s="249">
        <v>0</v>
      </c>
      <c r="R61" s="249">
        <v>1140.43</v>
      </c>
      <c r="S61" s="249">
        <v>1064.799</v>
      </c>
      <c r="T61" s="249">
        <v>846.755</v>
      </c>
      <c r="U61" s="249">
        <v>396.053</v>
      </c>
      <c r="V61" s="249">
        <v>0</v>
      </c>
      <c r="W61" s="249">
        <v>16.800999999999998</v>
      </c>
      <c r="X61" s="249">
        <v>288.05500000000001</v>
      </c>
      <c r="Y61" s="249">
        <v>0</v>
      </c>
      <c r="Z61" s="249">
        <v>0</v>
      </c>
      <c r="AA61" s="249">
        <v>0</v>
      </c>
      <c r="AB61" s="249">
        <v>0</v>
      </c>
      <c r="AC61" s="249">
        <v>4.1159999999999997</v>
      </c>
      <c r="AD61" s="249">
        <v>0</v>
      </c>
      <c r="AE61" s="249">
        <v>1058.33</v>
      </c>
      <c r="AF61" s="249">
        <v>1091.0899999999999</v>
      </c>
      <c r="AG61" s="249">
        <v>939.74</v>
      </c>
      <c r="AH61" s="249">
        <v>1335.99</v>
      </c>
      <c r="AI61" s="249">
        <v>870.75599999999997</v>
      </c>
      <c r="AJ61" s="249">
        <v>1186.7049999999999</v>
      </c>
      <c r="AK61" s="264">
        <f>+AK63-AK59-AK57-AK56</f>
        <v>1503.6819999999989</v>
      </c>
      <c r="AL61" s="264">
        <f>+AL63-AL59-AL57-AL56</f>
        <v>0</v>
      </c>
      <c r="AM61" s="264">
        <f>+AM63-AM59-AM57-AM56</f>
        <v>0</v>
      </c>
      <c r="AN61" s="264">
        <f>+AN63-AN59-AN57-AN56</f>
        <v>0</v>
      </c>
      <c r="AO61" s="264">
        <f>+AO63-AO59-AO57-AO56</f>
        <v>0</v>
      </c>
      <c r="AP61" s="296">
        <f t="shared" ref="AP61:AS61" si="206">AP62*AP3*4</f>
        <v>0</v>
      </c>
      <c r="AQ61" s="296">
        <f t="shared" si="206"/>
        <v>0</v>
      </c>
      <c r="AR61" s="296">
        <f t="shared" si="206"/>
        <v>0</v>
      </c>
      <c r="AS61" s="296">
        <f t="shared" si="206"/>
        <v>0</v>
      </c>
      <c r="AU61" s="296">
        <v>0</v>
      </c>
      <c r="AW61" s="249">
        <v>353.45600000000002</v>
      </c>
      <c r="AX61" s="249">
        <v>230.273</v>
      </c>
      <c r="AY61" s="249">
        <v>235.56299999999999</v>
      </c>
      <c r="AZ61" s="249">
        <v>295.00599999999997</v>
      </c>
      <c r="BA61" s="249">
        <v>333.12900000000002</v>
      </c>
      <c r="BB61" s="249">
        <v>327.77</v>
      </c>
      <c r="BC61" s="249">
        <v>320.76</v>
      </c>
      <c r="BD61" s="249">
        <v>315.39699999999999</v>
      </c>
      <c r="BE61" s="249">
        <v>392.447</v>
      </c>
      <c r="BF61" s="249">
        <v>1355.558</v>
      </c>
      <c r="BG61" s="249">
        <v>88.927000000000007</v>
      </c>
      <c r="BH61" s="249">
        <v>90.290999999999997</v>
      </c>
      <c r="BI61" s="249">
        <v>364.14800000000002</v>
      </c>
      <c r="BJ61" s="249">
        <v>127.373</v>
      </c>
      <c r="BK61" s="249">
        <v>64.134999999999991</v>
      </c>
      <c r="BL61" s="249">
        <v>125.18600000000001</v>
      </c>
      <c r="BM61" s="249">
        <v>91.703000000000003</v>
      </c>
      <c r="BN61" s="249">
        <v>43.817999999999998</v>
      </c>
      <c r="BO61" s="249">
        <v>75.256</v>
      </c>
      <c r="BP61" s="249">
        <v>2.0000000000000001E-4</v>
      </c>
      <c r="BQ61" s="249">
        <f t="shared" si="194"/>
        <v>0</v>
      </c>
      <c r="BR61" s="249">
        <f t="shared" si="194"/>
        <v>0</v>
      </c>
      <c r="BS61" s="249">
        <f t="shared" si="194"/>
        <v>0</v>
      </c>
      <c r="BT61" s="249">
        <f t="shared" si="194"/>
        <v>396.053</v>
      </c>
      <c r="BU61" s="249">
        <f t="shared" si="194"/>
        <v>0</v>
      </c>
      <c r="BV61" s="249">
        <f t="shared" si="194"/>
        <v>4.1159999999999997</v>
      </c>
      <c r="BW61" s="249">
        <f t="shared" si="194"/>
        <v>939.74</v>
      </c>
      <c r="BX61" s="249">
        <f>+SUMIFS($B61:$AO61,$B$2:$AO$2,"="&amp;BX$2)</f>
        <v>1503.6819999999989</v>
      </c>
      <c r="BY61" s="249">
        <f>+SUMIFS($B61:$AS61,$B$2:$AS$2,"="&amp;BY$2)</f>
        <v>0</v>
      </c>
      <c r="BZ61" s="249">
        <f>+SUMIFS($B61:$AS61,$B$2:$AS$2,"="&amp;BZ$2)</f>
        <v>0</v>
      </c>
      <c r="CA61" s="296">
        <f>CA62*CA3</f>
        <v>0</v>
      </c>
      <c r="CB61" s="296">
        <f>CB62*CB3</f>
        <v>0</v>
      </c>
      <c r="CC61" s="296">
        <f>CC62*CC3</f>
        <v>0</v>
      </c>
      <c r="CD61" s="296">
        <f>CD62*CD3</f>
        <v>0</v>
      </c>
    </row>
    <row r="62" spans="1:990 1025:2040 2075:3055 3090:4070 4105:5120 5155:6135 6170:7150 7185:8165 8200:9215 9250:10230 10265:11245 11280:12260 12295:13310 13345:14325 14360:15340 15375:16355" s="246" customFormat="1" ht="13.5" customHeight="1">
      <c r="A62" s="274" t="s">
        <v>94</v>
      </c>
      <c r="B62" s="246">
        <f t="shared" ref="B62:P62" si="207">B61/B3/4</f>
        <v>0</v>
      </c>
      <c r="C62" s="246">
        <f t="shared" si="207"/>
        <v>0</v>
      </c>
      <c r="D62" s="246">
        <f t="shared" si="207"/>
        <v>5.7343020327986019E-9</v>
      </c>
      <c r="E62" s="246">
        <f t="shared" si="207"/>
        <v>5.3298267337286788E-9</v>
      </c>
      <c r="F62" s="246">
        <f t="shared" si="207"/>
        <v>5.2463100602822015E-9</v>
      </c>
      <c r="G62" s="246">
        <f t="shared" si="207"/>
        <v>0</v>
      </c>
      <c r="H62" s="246">
        <f t="shared" si="207"/>
        <v>0</v>
      </c>
      <c r="I62" s="246">
        <f t="shared" si="207"/>
        <v>0</v>
      </c>
      <c r="J62" s="246">
        <f t="shared" si="207"/>
        <v>4.8984713438446694E-9</v>
      </c>
      <c r="K62" s="246">
        <f t="shared" si="207"/>
        <v>0</v>
      </c>
      <c r="L62" s="246">
        <f t="shared" si="207"/>
        <v>0</v>
      </c>
      <c r="M62" s="246">
        <f t="shared" si="207"/>
        <v>0</v>
      </c>
      <c r="N62" s="246">
        <f t="shared" si="207"/>
        <v>0</v>
      </c>
      <c r="O62" s="246">
        <f t="shared" si="207"/>
        <v>0</v>
      </c>
      <c r="P62" s="246">
        <f t="shared" si="207"/>
        <v>0</v>
      </c>
      <c r="Q62" s="246">
        <f t="shared" ref="Q62:AL62" si="208">Q61/Q3/4</f>
        <v>0</v>
      </c>
      <c r="R62" s="246">
        <f t="shared" si="208"/>
        <v>2.4384339422444192E-2</v>
      </c>
      <c r="S62" s="246">
        <f t="shared" si="208"/>
        <v>2.1576895645945345E-2</v>
      </c>
      <c r="T62" s="246">
        <f t="shared" si="208"/>
        <v>1.9076009728290738E-2</v>
      </c>
      <c r="U62" s="246">
        <f t="shared" si="208"/>
        <v>8.5531153836219728E-3</v>
      </c>
      <c r="V62" s="246">
        <f t="shared" si="208"/>
        <v>0</v>
      </c>
      <c r="W62" s="246">
        <f t="shared" si="208"/>
        <v>3.5831529493821047E-4</v>
      </c>
      <c r="X62" s="246">
        <f t="shared" si="208"/>
        <v>6.3484650667475356E-3</v>
      </c>
      <c r="Y62" s="246">
        <f t="shared" si="208"/>
        <v>0</v>
      </c>
      <c r="Z62" s="246">
        <f t="shared" si="208"/>
        <v>0</v>
      </c>
      <c r="AA62" s="246">
        <f t="shared" si="208"/>
        <v>0</v>
      </c>
      <c r="AB62" s="246">
        <f t="shared" si="208"/>
        <v>0</v>
      </c>
      <c r="AC62" s="246">
        <f t="shared" si="208"/>
        <v>8.044068047030827E-5</v>
      </c>
      <c r="AD62" s="246">
        <f t="shared" si="208"/>
        <v>0</v>
      </c>
      <c r="AE62" s="246">
        <f t="shared" si="208"/>
        <v>1.9292774604070913E-2</v>
      </c>
      <c r="AF62" s="246">
        <f t="shared" si="208"/>
        <v>2.1524658121536464E-2</v>
      </c>
      <c r="AG62" s="246">
        <f t="shared" si="208"/>
        <v>1.7569932534480436E-2</v>
      </c>
      <c r="AH62" s="246">
        <f t="shared" si="208"/>
        <v>2.4221011275400255E-2</v>
      </c>
      <c r="AI62" s="246">
        <f t="shared" si="208"/>
        <v>1.5474054591981801E-2</v>
      </c>
      <c r="AJ62" s="246">
        <f t="shared" si="208"/>
        <v>2.255298056137775E-2</v>
      </c>
      <c r="AK62" s="246">
        <f t="shared" si="208"/>
        <v>2.7298964511393315E-2</v>
      </c>
      <c r="AL62" s="246">
        <f t="shared" si="208"/>
        <v>0</v>
      </c>
      <c r="AM62" s="246">
        <f t="shared" ref="AM62:AN62" si="209">AM61/AM3/4</f>
        <v>0</v>
      </c>
      <c r="AN62" s="246">
        <f t="shared" si="209"/>
        <v>0</v>
      </c>
      <c r="AO62" s="246">
        <f t="shared" ref="AO62" si="210">AO61/AO3/4</f>
        <v>0</v>
      </c>
      <c r="AP62" s="360">
        <f t="shared" ref="AP62:AS62" si="211">+AO62</f>
        <v>0</v>
      </c>
      <c r="AQ62" s="360">
        <f t="shared" si="211"/>
        <v>0</v>
      </c>
      <c r="AR62" s="360">
        <f t="shared" si="211"/>
        <v>0</v>
      </c>
      <c r="AS62" s="360">
        <f t="shared" si="211"/>
        <v>0</v>
      </c>
      <c r="AU62" s="360">
        <v>0</v>
      </c>
      <c r="AW62" s="246">
        <f t="shared" ref="AW62:BR62" si="212">AW61/AW3</f>
        <v>3.4297885347351773E-2</v>
      </c>
      <c r="AX62" s="246">
        <f t="shared" si="212"/>
        <v>1.8737032867941889E-2</v>
      </c>
      <c r="AY62" s="246">
        <f t="shared" si="212"/>
        <v>1.6985811158777238E-2</v>
      </c>
      <c r="AZ62" s="246">
        <f t="shared" si="212"/>
        <v>1.8546401587187625E-2</v>
      </c>
      <c r="BA62" s="246">
        <f t="shared" si="212"/>
        <v>2.1308043933860626E-2</v>
      </c>
      <c r="BB62" s="246">
        <f t="shared" si="212"/>
        <v>2.0363393729140832E-2</v>
      </c>
      <c r="BC62" s="246">
        <f t="shared" si="212"/>
        <v>1.87577093536327E-2</v>
      </c>
      <c r="BD62" s="246">
        <f t="shared" si="212"/>
        <v>1.5930019174288847E-2</v>
      </c>
      <c r="BE62" s="246">
        <f t="shared" si="212"/>
        <v>1.7852202376787928E-2</v>
      </c>
      <c r="BF62" s="246">
        <f t="shared" si="212"/>
        <v>6.7492837252579999E-2</v>
      </c>
      <c r="BG62" s="246">
        <f t="shared" si="212"/>
        <v>4.139945781779928E-3</v>
      </c>
      <c r="BH62" s="246">
        <f t="shared" si="212"/>
        <v>3.9169214076189849E-3</v>
      </c>
      <c r="BI62" s="246">
        <f t="shared" si="212"/>
        <v>1.4741516820743995E-2</v>
      </c>
      <c r="BJ62" s="246">
        <f t="shared" si="212"/>
        <v>4.8622108914547005E-3</v>
      </c>
      <c r="BK62" s="246">
        <f t="shared" si="212"/>
        <v>2.3991501244015538E-3</v>
      </c>
      <c r="BL62" s="246">
        <f t="shared" si="212"/>
        <v>4.2742189408270636E-3</v>
      </c>
      <c r="BM62" s="246">
        <f t="shared" si="212"/>
        <v>3.0899823287097211E-3</v>
      </c>
      <c r="BN62" s="246">
        <f t="shared" si="212"/>
        <v>1.5054186723655765E-3</v>
      </c>
      <c r="BO62" s="246">
        <f t="shared" si="212"/>
        <v>2.3366904680627979E-3</v>
      </c>
      <c r="BP62" s="246">
        <f t="shared" si="212"/>
        <v>5.6084785613803815E-9</v>
      </c>
      <c r="BQ62" s="246">
        <f t="shared" si="212"/>
        <v>0</v>
      </c>
      <c r="BR62" s="246">
        <f t="shared" si="212"/>
        <v>0</v>
      </c>
      <c r="BS62" s="246">
        <f t="shared" ref="BS62:BX62" si="213">BS61/BS3</f>
        <v>0</v>
      </c>
      <c r="BT62" s="246">
        <f t="shared" si="213"/>
        <v>8.4802665873282574E-3</v>
      </c>
      <c r="BU62" s="246">
        <f t="shared" si="213"/>
        <v>0</v>
      </c>
      <c r="BV62" s="246">
        <f t="shared" si="213"/>
        <v>8.0619136162430393E-5</v>
      </c>
      <c r="BW62" s="246">
        <f t="shared" si="213"/>
        <v>1.7628811376445602E-2</v>
      </c>
      <c r="BX62" s="246">
        <f t="shared" si="213"/>
        <v>2.7448109227587215E-2</v>
      </c>
      <c r="BY62" s="246">
        <f>BY61/BY3</f>
        <v>0</v>
      </c>
      <c r="BZ62" s="246">
        <f>BZ61/BZ3</f>
        <v>0</v>
      </c>
      <c r="CA62" s="360">
        <f>+BZ62</f>
        <v>0</v>
      </c>
      <c r="CB62" s="360">
        <f>+CA62</f>
        <v>0</v>
      </c>
      <c r="CC62" s="360">
        <f>+CB62</f>
        <v>0</v>
      </c>
      <c r="CD62" s="360">
        <f>+CC62</f>
        <v>0</v>
      </c>
      <c r="DK62" s="274"/>
      <c r="ET62" s="274"/>
      <c r="GC62" s="274"/>
      <c r="HL62" s="274"/>
      <c r="IU62" s="274"/>
      <c r="KD62" s="274"/>
      <c r="LM62" s="274"/>
      <c r="MV62" s="274"/>
      <c r="OE62" s="274"/>
      <c r="PN62" s="274"/>
      <c r="QW62" s="274"/>
      <c r="SF62" s="274"/>
      <c r="TO62" s="274"/>
      <c r="UX62" s="274"/>
      <c r="WG62" s="274"/>
      <c r="XP62" s="274"/>
      <c r="YY62" s="274"/>
      <c r="AAH62" s="274"/>
      <c r="ABQ62" s="274"/>
      <c r="ACZ62" s="274"/>
      <c r="AEI62" s="274"/>
      <c r="AFR62" s="274"/>
      <c r="AHA62" s="274"/>
      <c r="AIJ62" s="274"/>
      <c r="AJS62" s="274"/>
      <c r="ALB62" s="274"/>
      <c r="AMK62" s="274"/>
      <c r="ANT62" s="274"/>
      <c r="APC62" s="274"/>
      <c r="AQL62" s="274"/>
      <c r="ARU62" s="274"/>
      <c r="ATD62" s="274"/>
      <c r="AUM62" s="274"/>
      <c r="AVV62" s="274"/>
      <c r="AXE62" s="274"/>
      <c r="AYN62" s="274"/>
      <c r="AZW62" s="274"/>
      <c r="BBF62" s="274"/>
      <c r="BCO62" s="274"/>
      <c r="BDX62" s="274"/>
      <c r="BFG62" s="274"/>
      <c r="BGP62" s="274"/>
      <c r="BHY62" s="274"/>
      <c r="BJH62" s="274"/>
      <c r="BKQ62" s="274"/>
      <c r="BLZ62" s="274"/>
      <c r="BNI62" s="274"/>
      <c r="BOR62" s="274"/>
      <c r="BQA62" s="274"/>
      <c r="BRJ62" s="274"/>
      <c r="BSS62" s="274"/>
      <c r="BUB62" s="274"/>
      <c r="BVK62" s="274"/>
      <c r="BWT62" s="274"/>
      <c r="BYC62" s="274"/>
      <c r="BZL62" s="274"/>
      <c r="CAU62" s="274"/>
      <c r="CCD62" s="274"/>
      <c r="CDM62" s="274"/>
      <c r="CEV62" s="274"/>
      <c r="CGE62" s="274"/>
      <c r="CHN62" s="274"/>
      <c r="CIW62" s="274"/>
      <c r="CKF62" s="274"/>
      <c r="CLO62" s="274"/>
      <c r="CMX62" s="274"/>
      <c r="COG62" s="274"/>
      <c r="CPP62" s="274"/>
      <c r="CQY62" s="274"/>
      <c r="CSH62" s="274"/>
      <c r="CTQ62" s="274"/>
      <c r="CUZ62" s="274"/>
      <c r="CWI62" s="274"/>
      <c r="CXR62" s="274"/>
      <c r="CZA62" s="274"/>
      <c r="DAJ62" s="274"/>
      <c r="DBS62" s="274"/>
      <c r="DDB62" s="274"/>
      <c r="DEK62" s="274"/>
      <c r="DFT62" s="274"/>
      <c r="DHC62" s="274"/>
      <c r="DIL62" s="274"/>
      <c r="DJU62" s="274"/>
      <c r="DLD62" s="274"/>
      <c r="DMM62" s="274"/>
      <c r="DNV62" s="274"/>
      <c r="DPE62" s="274"/>
      <c r="DQN62" s="274"/>
      <c r="DRW62" s="274"/>
      <c r="DTF62" s="274"/>
      <c r="DUO62" s="274"/>
      <c r="DVX62" s="274"/>
      <c r="DXG62" s="274"/>
      <c r="DYP62" s="274"/>
      <c r="DZY62" s="274"/>
      <c r="EBH62" s="274"/>
      <c r="ECQ62" s="274"/>
      <c r="EDZ62" s="274"/>
      <c r="EFI62" s="274"/>
      <c r="EGR62" s="274"/>
      <c r="EIA62" s="274"/>
      <c r="EJJ62" s="274"/>
      <c r="EKS62" s="274"/>
      <c r="EMB62" s="274"/>
      <c r="ENK62" s="274"/>
      <c r="EOT62" s="274"/>
      <c r="EQC62" s="274"/>
      <c r="ERL62" s="274"/>
      <c r="ESU62" s="274"/>
      <c r="EUD62" s="274"/>
      <c r="EVM62" s="274"/>
      <c r="EWV62" s="274"/>
      <c r="EYE62" s="274"/>
      <c r="EZN62" s="274"/>
      <c r="FAW62" s="274"/>
      <c r="FCF62" s="274"/>
      <c r="FDO62" s="274"/>
      <c r="FEX62" s="274"/>
      <c r="FGG62" s="274"/>
      <c r="FHP62" s="274"/>
      <c r="FIY62" s="274"/>
      <c r="FKH62" s="274"/>
      <c r="FLQ62" s="274"/>
      <c r="FMZ62" s="274"/>
      <c r="FOI62" s="274"/>
      <c r="FPR62" s="274"/>
      <c r="FRA62" s="274"/>
      <c r="FSJ62" s="274"/>
      <c r="FTS62" s="274"/>
      <c r="FVB62" s="274"/>
      <c r="FWK62" s="274"/>
      <c r="FXT62" s="274"/>
      <c r="FZC62" s="274"/>
      <c r="GAL62" s="274"/>
      <c r="GBU62" s="274"/>
      <c r="GDD62" s="274"/>
      <c r="GEM62" s="274"/>
      <c r="GFV62" s="274"/>
      <c r="GHE62" s="274"/>
      <c r="GIN62" s="274"/>
      <c r="GJW62" s="274"/>
      <c r="GLF62" s="274"/>
      <c r="GMO62" s="274"/>
      <c r="GNX62" s="274"/>
      <c r="GPG62" s="274"/>
      <c r="GQP62" s="274"/>
      <c r="GRY62" s="274"/>
      <c r="GTH62" s="274"/>
      <c r="GUQ62" s="274"/>
      <c r="GVZ62" s="274"/>
      <c r="GXI62" s="274"/>
      <c r="GYR62" s="274"/>
      <c r="HAA62" s="274"/>
      <c r="HBJ62" s="274"/>
      <c r="HCS62" s="274"/>
      <c r="HEB62" s="274"/>
      <c r="HFK62" s="274"/>
      <c r="HGT62" s="274"/>
      <c r="HIC62" s="274"/>
      <c r="HJL62" s="274"/>
      <c r="HKU62" s="274"/>
      <c r="HMD62" s="274"/>
      <c r="HNM62" s="274"/>
      <c r="HOV62" s="274"/>
      <c r="HQE62" s="274"/>
      <c r="HRN62" s="274"/>
      <c r="HSW62" s="274"/>
      <c r="HUF62" s="274"/>
      <c r="HVO62" s="274"/>
      <c r="HWX62" s="274"/>
      <c r="HYG62" s="274"/>
      <c r="HZP62" s="274"/>
      <c r="IAY62" s="274"/>
      <c r="ICH62" s="274"/>
      <c r="IDQ62" s="274"/>
      <c r="IEZ62" s="274"/>
      <c r="IGI62" s="274"/>
      <c r="IHR62" s="274"/>
      <c r="IJA62" s="274"/>
      <c r="IKJ62" s="274"/>
      <c r="ILS62" s="274"/>
      <c r="INB62" s="274"/>
      <c r="IOK62" s="274"/>
      <c r="IPT62" s="274"/>
      <c r="IRC62" s="274"/>
      <c r="ISL62" s="274"/>
      <c r="ITU62" s="274"/>
      <c r="IVD62" s="274"/>
      <c r="IWM62" s="274"/>
      <c r="IXV62" s="274"/>
      <c r="IZE62" s="274"/>
      <c r="JAN62" s="274"/>
      <c r="JBW62" s="274"/>
      <c r="JDF62" s="274"/>
      <c r="JEO62" s="274"/>
      <c r="JFX62" s="274"/>
      <c r="JHG62" s="274"/>
      <c r="JIP62" s="274"/>
      <c r="JJY62" s="274"/>
      <c r="JLH62" s="274"/>
      <c r="JMQ62" s="274"/>
      <c r="JNZ62" s="274"/>
      <c r="JPI62" s="274"/>
      <c r="JQR62" s="274"/>
      <c r="JSA62" s="274"/>
      <c r="JTJ62" s="274"/>
      <c r="JUS62" s="274"/>
      <c r="JWB62" s="274"/>
      <c r="JXK62" s="274"/>
      <c r="JYT62" s="274"/>
      <c r="KAC62" s="274"/>
      <c r="KBL62" s="274"/>
      <c r="KCU62" s="274"/>
      <c r="KED62" s="274"/>
      <c r="KFM62" s="274"/>
      <c r="KGV62" s="274"/>
      <c r="KIE62" s="274"/>
      <c r="KJN62" s="274"/>
      <c r="KKW62" s="274"/>
      <c r="KMF62" s="274"/>
      <c r="KNO62" s="274"/>
      <c r="KOX62" s="274"/>
      <c r="KQG62" s="274"/>
      <c r="KRP62" s="274"/>
      <c r="KSY62" s="274"/>
      <c r="KUH62" s="274"/>
      <c r="KVQ62" s="274"/>
      <c r="KWZ62" s="274"/>
      <c r="KYI62" s="274"/>
      <c r="KZR62" s="274"/>
      <c r="LBA62" s="274"/>
      <c r="LCJ62" s="274"/>
      <c r="LDS62" s="274"/>
      <c r="LFB62" s="274"/>
      <c r="LGK62" s="274"/>
      <c r="LHT62" s="274"/>
      <c r="LJC62" s="274"/>
      <c r="LKL62" s="274"/>
      <c r="LLU62" s="274"/>
      <c r="LND62" s="274"/>
      <c r="LOM62" s="274"/>
      <c r="LPV62" s="274"/>
      <c r="LRE62" s="274"/>
      <c r="LSN62" s="274"/>
      <c r="LTW62" s="274"/>
      <c r="LVF62" s="274"/>
      <c r="LWO62" s="274"/>
      <c r="LXX62" s="274"/>
      <c r="LZG62" s="274"/>
      <c r="MAP62" s="274"/>
      <c r="MBY62" s="274"/>
      <c r="MDH62" s="274"/>
      <c r="MEQ62" s="274"/>
      <c r="MFZ62" s="274"/>
      <c r="MHI62" s="274"/>
      <c r="MIR62" s="274"/>
      <c r="MKA62" s="274"/>
      <c r="MLJ62" s="274"/>
      <c r="MMS62" s="274"/>
      <c r="MOB62" s="274"/>
      <c r="MPK62" s="274"/>
      <c r="MQT62" s="274"/>
      <c r="MSC62" s="274"/>
      <c r="MTL62" s="274"/>
      <c r="MUU62" s="274"/>
      <c r="MWD62" s="274"/>
      <c r="MXM62" s="274"/>
      <c r="MYV62" s="274"/>
      <c r="NAE62" s="274"/>
      <c r="NBN62" s="274"/>
      <c r="NCW62" s="274"/>
      <c r="NEF62" s="274"/>
      <c r="NFO62" s="274"/>
      <c r="NGX62" s="274"/>
      <c r="NIG62" s="274"/>
      <c r="NJP62" s="274"/>
      <c r="NKY62" s="274"/>
      <c r="NMH62" s="274"/>
      <c r="NNQ62" s="274"/>
      <c r="NOZ62" s="274"/>
      <c r="NQI62" s="274"/>
      <c r="NRR62" s="274"/>
      <c r="NTA62" s="274"/>
      <c r="NUJ62" s="274"/>
      <c r="NVS62" s="274"/>
      <c r="NXB62" s="274"/>
      <c r="NYK62" s="274"/>
      <c r="NZT62" s="274"/>
      <c r="OBC62" s="274"/>
      <c r="OCL62" s="274"/>
      <c r="ODU62" s="274"/>
      <c r="OFD62" s="274"/>
      <c r="OGM62" s="274"/>
      <c r="OHV62" s="274"/>
      <c r="OJE62" s="274"/>
      <c r="OKN62" s="274"/>
      <c r="OLW62" s="274"/>
      <c r="ONF62" s="274"/>
      <c r="OOO62" s="274"/>
      <c r="OPX62" s="274"/>
      <c r="ORG62" s="274"/>
      <c r="OSP62" s="274"/>
      <c r="OTY62" s="274"/>
      <c r="OVH62" s="274"/>
      <c r="OWQ62" s="274"/>
      <c r="OXZ62" s="274"/>
      <c r="OZI62" s="274"/>
      <c r="PAR62" s="274"/>
      <c r="PCA62" s="274"/>
      <c r="PDJ62" s="274"/>
      <c r="PES62" s="274"/>
      <c r="PGB62" s="274"/>
      <c r="PHK62" s="274"/>
      <c r="PIT62" s="274"/>
      <c r="PKC62" s="274"/>
      <c r="PLL62" s="274"/>
      <c r="PMU62" s="274"/>
      <c r="POD62" s="274"/>
      <c r="PPM62" s="274"/>
      <c r="PQV62" s="274"/>
      <c r="PSE62" s="274"/>
      <c r="PTN62" s="274"/>
      <c r="PUW62" s="274"/>
      <c r="PWF62" s="274"/>
      <c r="PXO62" s="274"/>
      <c r="PYX62" s="274"/>
      <c r="QAG62" s="274"/>
      <c r="QBP62" s="274"/>
      <c r="QCY62" s="274"/>
      <c r="QEH62" s="274"/>
      <c r="QFQ62" s="274"/>
      <c r="QGZ62" s="274"/>
      <c r="QII62" s="274"/>
      <c r="QJR62" s="274"/>
      <c r="QLA62" s="274"/>
      <c r="QMJ62" s="274"/>
      <c r="QNS62" s="274"/>
      <c r="QPB62" s="274"/>
      <c r="QQK62" s="274"/>
      <c r="QRT62" s="274"/>
      <c r="QTC62" s="274"/>
      <c r="QUL62" s="274"/>
      <c r="QVU62" s="274"/>
      <c r="QXD62" s="274"/>
      <c r="QYM62" s="274"/>
      <c r="QZV62" s="274"/>
      <c r="RBE62" s="274"/>
      <c r="RCN62" s="274"/>
      <c r="RDW62" s="274"/>
      <c r="RFF62" s="274"/>
      <c r="RGO62" s="274"/>
      <c r="RHX62" s="274"/>
      <c r="RJG62" s="274"/>
      <c r="RKP62" s="274"/>
      <c r="RLY62" s="274"/>
      <c r="RNH62" s="274"/>
      <c r="ROQ62" s="274"/>
      <c r="RPZ62" s="274"/>
      <c r="RRI62" s="274"/>
      <c r="RSR62" s="274"/>
      <c r="RUA62" s="274"/>
      <c r="RVJ62" s="274"/>
      <c r="RWS62" s="274"/>
      <c r="RYB62" s="274"/>
      <c r="RZK62" s="274"/>
      <c r="SAT62" s="274"/>
      <c r="SCC62" s="274"/>
      <c r="SDL62" s="274"/>
      <c r="SEU62" s="274"/>
      <c r="SGD62" s="274"/>
      <c r="SHM62" s="274"/>
      <c r="SIV62" s="274"/>
      <c r="SKE62" s="274"/>
      <c r="SLN62" s="274"/>
      <c r="SMW62" s="274"/>
      <c r="SOF62" s="274"/>
      <c r="SPO62" s="274"/>
      <c r="SQX62" s="274"/>
      <c r="SSG62" s="274"/>
      <c r="STP62" s="274"/>
      <c r="SUY62" s="274"/>
      <c r="SWH62" s="274"/>
      <c r="SXQ62" s="274"/>
      <c r="SYZ62" s="274"/>
      <c r="TAI62" s="274"/>
      <c r="TBR62" s="274"/>
      <c r="TDA62" s="274"/>
      <c r="TEJ62" s="274"/>
      <c r="TFS62" s="274"/>
      <c r="THB62" s="274"/>
      <c r="TIK62" s="274"/>
      <c r="TJT62" s="274"/>
      <c r="TLC62" s="274"/>
      <c r="TML62" s="274"/>
      <c r="TNU62" s="274"/>
      <c r="TPD62" s="274"/>
      <c r="TQM62" s="274"/>
      <c r="TRV62" s="274"/>
      <c r="TTE62" s="274"/>
      <c r="TUN62" s="274"/>
      <c r="TVW62" s="274"/>
      <c r="TXF62" s="274"/>
      <c r="TYO62" s="274"/>
      <c r="TZX62" s="274"/>
      <c r="UBG62" s="274"/>
      <c r="UCP62" s="274"/>
      <c r="UDY62" s="274"/>
      <c r="UFH62" s="274"/>
      <c r="UGQ62" s="274"/>
      <c r="UHZ62" s="274"/>
      <c r="UJI62" s="274"/>
      <c r="UKR62" s="274"/>
      <c r="UMA62" s="274"/>
      <c r="UNJ62" s="274"/>
      <c r="UOS62" s="274"/>
      <c r="UQB62" s="274"/>
      <c r="URK62" s="274"/>
      <c r="UST62" s="274"/>
      <c r="UUC62" s="274"/>
      <c r="UVL62" s="274"/>
      <c r="UWU62" s="274"/>
      <c r="UYD62" s="274"/>
      <c r="UZM62" s="274"/>
      <c r="VAV62" s="274"/>
      <c r="VCE62" s="274"/>
      <c r="VDN62" s="274"/>
      <c r="VEW62" s="274"/>
      <c r="VGF62" s="274"/>
      <c r="VHO62" s="274"/>
      <c r="VIX62" s="274"/>
      <c r="VKG62" s="274"/>
      <c r="VLP62" s="274"/>
      <c r="VMY62" s="274"/>
      <c r="VOH62" s="274"/>
      <c r="VPQ62" s="274"/>
      <c r="VQZ62" s="274"/>
      <c r="VSI62" s="274"/>
      <c r="VTR62" s="274"/>
      <c r="VVA62" s="274"/>
      <c r="VWJ62" s="274"/>
      <c r="VXS62" s="274"/>
      <c r="VZB62" s="274"/>
      <c r="WAK62" s="274"/>
      <c r="WBT62" s="274"/>
      <c r="WDC62" s="274"/>
      <c r="WEL62" s="274"/>
      <c r="WFU62" s="274"/>
      <c r="WHD62" s="274"/>
      <c r="WIM62" s="274"/>
      <c r="WJV62" s="274"/>
      <c r="WLE62" s="274"/>
      <c r="WMN62" s="274"/>
      <c r="WNW62" s="274"/>
      <c r="WPF62" s="274"/>
      <c r="WQO62" s="274"/>
      <c r="WRX62" s="274"/>
      <c r="WTG62" s="274"/>
      <c r="WUP62" s="274"/>
      <c r="WVY62" s="274"/>
      <c r="WXH62" s="274"/>
      <c r="WYQ62" s="274"/>
      <c r="WZZ62" s="274"/>
      <c r="XBI62" s="274"/>
      <c r="XCR62" s="274"/>
      <c r="XEA62" s="274"/>
    </row>
    <row r="63" spans="1:990 1025:2040 2075:3055 3090:4070 4105:5120 5155:6135 6170:7150 7185:8165 8200:9215 9250:10230 10265:11245 11280:12260 12295:13310 13345:14325 14360:15340 15375:16355" s="319" customFormat="1" ht="13.5" customHeight="1">
      <c r="A63" s="319" t="s">
        <v>97</v>
      </c>
      <c r="B63" s="247">
        <f t="shared" ref="B63:AJ63" si="214">+B61+B57+B56+B59</f>
        <v>18955.348000000002</v>
      </c>
      <c r="C63" s="247">
        <f t="shared" si="214"/>
        <v>17729.579999999998</v>
      </c>
      <c r="D63" s="247">
        <f t="shared" si="214"/>
        <v>17894.0262</v>
      </c>
      <c r="E63" s="247">
        <f t="shared" si="214"/>
        <v>15949.7402</v>
      </c>
      <c r="F63" s="247">
        <f t="shared" si="214"/>
        <v>16742.1122</v>
      </c>
      <c r="G63" s="247">
        <f t="shared" si="214"/>
        <v>16055.984</v>
      </c>
      <c r="H63" s="247">
        <f t="shared" si="214"/>
        <v>15121.022999999999</v>
      </c>
      <c r="I63" s="247">
        <f t="shared" si="214"/>
        <v>14144.217000000001</v>
      </c>
      <c r="J63" s="247">
        <f t="shared" si="214"/>
        <v>16366.0002</v>
      </c>
      <c r="K63" s="247">
        <f t="shared" si="214"/>
        <v>18717.112000000001</v>
      </c>
      <c r="L63" s="247">
        <f t="shared" si="214"/>
        <v>16476.413</v>
      </c>
      <c r="M63" s="247">
        <f t="shared" si="214"/>
        <v>15791.983</v>
      </c>
      <c r="N63" s="247">
        <f t="shared" si="214"/>
        <v>17834</v>
      </c>
      <c r="O63" s="247">
        <f t="shared" si="214"/>
        <v>17094</v>
      </c>
      <c r="P63" s="247">
        <f t="shared" si="214"/>
        <v>16875.631000000001</v>
      </c>
      <c r="Q63" s="247">
        <f t="shared" si="214"/>
        <v>16758.659</v>
      </c>
      <c r="R63" s="247">
        <f t="shared" si="214"/>
        <v>21539.978999999999</v>
      </c>
      <c r="S63" s="247">
        <f t="shared" si="214"/>
        <v>21725.243999999999</v>
      </c>
      <c r="T63" s="247">
        <f t="shared" si="214"/>
        <v>32696.955999999998</v>
      </c>
      <c r="U63" s="247">
        <f t="shared" si="214"/>
        <v>28824.363000000001</v>
      </c>
      <c r="V63" s="247">
        <f t="shared" si="214"/>
        <v>26482.815999999999</v>
      </c>
      <c r="W63" s="247">
        <f t="shared" si="214"/>
        <v>25498.387000000002</v>
      </c>
      <c r="X63" s="247">
        <f t="shared" si="214"/>
        <v>25458.509000000002</v>
      </c>
      <c r="Y63" s="247">
        <f t="shared" si="214"/>
        <v>23542.569099999997</v>
      </c>
      <c r="Z63" s="247">
        <f t="shared" si="214"/>
        <v>24670.819000000003</v>
      </c>
      <c r="AA63" s="247">
        <f t="shared" si="214"/>
        <v>21834.300999999999</v>
      </c>
      <c r="AB63" s="247">
        <f t="shared" si="214"/>
        <v>29848.682000000001</v>
      </c>
      <c r="AC63" s="247">
        <f t="shared" si="214"/>
        <v>28606.12</v>
      </c>
      <c r="AD63" s="247">
        <f t="shared" si="214"/>
        <v>30730.221000000001</v>
      </c>
      <c r="AE63" s="247">
        <f t="shared" si="214"/>
        <v>32734.5072</v>
      </c>
      <c r="AF63" s="247">
        <f t="shared" si="214"/>
        <v>31094.944</v>
      </c>
      <c r="AG63" s="247">
        <f t="shared" si="214"/>
        <v>31212.491999999998</v>
      </c>
      <c r="AH63" s="247">
        <f t="shared" si="214"/>
        <v>34142.625</v>
      </c>
      <c r="AI63" s="247">
        <f t="shared" si="214"/>
        <v>30432.079000000002</v>
      </c>
      <c r="AJ63" s="247">
        <f t="shared" si="214"/>
        <v>30182.287000000004</v>
      </c>
      <c r="AK63" s="335">
        <v>29295.003000000001</v>
      </c>
      <c r="AL63" s="335">
        <v>25189.222000000002</v>
      </c>
      <c r="AM63" s="335">
        <v>24552.6</v>
      </c>
      <c r="AN63" s="335">
        <v>23404.550999999999</v>
      </c>
      <c r="AO63" s="335">
        <v>22640.208999999999</v>
      </c>
      <c r="AP63" s="278">
        <f t="shared" ref="AP63:AS63" si="215">+AP61+AP57+AP56+AP59</f>
        <v>31094.741304955816</v>
      </c>
      <c r="AQ63" s="278">
        <f t="shared" si="215"/>
        <v>29194.986677630772</v>
      </c>
      <c r="AR63" s="278">
        <f t="shared" si="215"/>
        <v>27139.485717885073</v>
      </c>
      <c r="AS63" s="278">
        <f t="shared" si="215"/>
        <v>22318.241679304156</v>
      </c>
      <c r="AU63" s="278">
        <v>19493.251492633186</v>
      </c>
      <c r="AW63" s="247">
        <f t="shared" ref="AW63:BO63" si="216">+AW61+AW57+AW56+AW59</f>
        <v>5189.6399999999994</v>
      </c>
      <c r="AX63" s="247">
        <f t="shared" si="216"/>
        <v>5440.1150000000007</v>
      </c>
      <c r="AY63" s="247">
        <f t="shared" si="216"/>
        <v>6834.5540000000001</v>
      </c>
      <c r="AZ63" s="247">
        <f t="shared" si="216"/>
        <v>6854.1570000000002</v>
      </c>
      <c r="BA63" s="247">
        <f t="shared" si="216"/>
        <v>7212.2129999999997</v>
      </c>
      <c r="BB63" s="247">
        <f t="shared" si="216"/>
        <v>6744.3850000000002</v>
      </c>
      <c r="BC63" s="247">
        <f t="shared" si="216"/>
        <v>7175.6509999999998</v>
      </c>
      <c r="BD63" s="247">
        <f t="shared" si="216"/>
        <v>8159.2569999999996</v>
      </c>
      <c r="BE63" s="247">
        <f t="shared" si="216"/>
        <v>8351.2720000000008</v>
      </c>
      <c r="BF63" s="247">
        <f t="shared" si="216"/>
        <v>8347.4349999999995</v>
      </c>
      <c r="BG63" s="247">
        <f t="shared" si="216"/>
        <v>8222.8860000000004</v>
      </c>
      <c r="BH63" s="247">
        <f t="shared" si="216"/>
        <v>9164.0249999999996</v>
      </c>
      <c r="BI63" s="247">
        <f t="shared" si="216"/>
        <v>12602.321999999998</v>
      </c>
      <c r="BJ63" s="247">
        <f t="shared" si="216"/>
        <v>12893.632</v>
      </c>
      <c r="BK63" s="247">
        <f t="shared" si="216"/>
        <v>11567.999</v>
      </c>
      <c r="BL63" s="247">
        <f t="shared" si="216"/>
        <v>10819.007</v>
      </c>
      <c r="BM63" s="247">
        <f t="shared" si="216"/>
        <v>12181.248</v>
      </c>
      <c r="BN63" s="247">
        <f t="shared" si="216"/>
        <v>12034.514999999999</v>
      </c>
      <c r="BO63" s="247">
        <f t="shared" si="216"/>
        <v>15019.583000000001</v>
      </c>
      <c r="BP63" s="247">
        <f t="shared" ref="BP63:BU63" si="217">+BP61+BP57+BP56+BP59</f>
        <v>15949.7402</v>
      </c>
      <c r="BQ63" s="247">
        <f t="shared" si="217"/>
        <v>14144.217000000001</v>
      </c>
      <c r="BR63" s="247">
        <f t="shared" si="217"/>
        <v>15791.983</v>
      </c>
      <c r="BS63" s="247">
        <f t="shared" si="217"/>
        <v>16758.659</v>
      </c>
      <c r="BT63" s="247">
        <f t="shared" si="217"/>
        <v>28824.363000000001</v>
      </c>
      <c r="BU63" s="247">
        <f t="shared" si="217"/>
        <v>23542.569099999997</v>
      </c>
      <c r="BV63" s="247">
        <f t="shared" ref="BV63:CD63" si="218">+BV61+BV57+BV56+BV59</f>
        <v>28606.12</v>
      </c>
      <c r="BW63" s="247">
        <f t="shared" si="218"/>
        <v>31212.491999999998</v>
      </c>
      <c r="BX63" s="247">
        <f t="shared" si="218"/>
        <v>29295.003000000001</v>
      </c>
      <c r="BY63" s="247">
        <f>+BY61+BY57+BY56+BY59</f>
        <v>22640.209000000003</v>
      </c>
      <c r="BZ63" s="247">
        <f>+BZ61+BZ57+BZ56+BZ59</f>
        <v>22318.241679304156</v>
      </c>
      <c r="CA63" s="278">
        <f t="shared" si="218"/>
        <v>24270.132592385049</v>
      </c>
      <c r="CB63" s="278">
        <f t="shared" si="218"/>
        <v>26186.989682663421</v>
      </c>
      <c r="CC63" s="278">
        <f t="shared" si="218"/>
        <v>28080.738838685586</v>
      </c>
      <c r="CD63" s="278">
        <f t="shared" si="218"/>
        <v>30014.73413691466</v>
      </c>
    </row>
    <row r="64" spans="1:990 1025:2040 2075:3055 3090:4070 4105:5120 5155:6135 6170:7150 7185:8165 8200:9215 9250:10230 10265:11245 11280:12260 12295:13310 13345:14325 14360:15340 15375:16355" ht="13.5" customHeight="1">
      <c r="AP64" s="298"/>
      <c r="AQ64" s="298"/>
      <c r="AR64" s="298"/>
      <c r="AS64" s="298"/>
      <c r="AU64" s="298"/>
      <c r="CA64" s="298"/>
      <c r="CB64" s="298"/>
      <c r="CC64" s="298"/>
      <c r="CD64" s="298"/>
    </row>
    <row r="65" spans="1:990 1025:2040 2075:3055 3090:4070 4105:5120 5155:6135 6170:7150 7185:8165 8200:9215 9250:10230 10265:11245 11280:12260 12295:13310 13345:14325 14360:15340 15375:16355" s="258" customFormat="1" ht="13.5" customHeight="1">
      <c r="A65" s="258" t="s">
        <v>98</v>
      </c>
      <c r="B65" s="261">
        <v>-408.221</v>
      </c>
      <c r="C65" s="261">
        <v>-412.51600000000002</v>
      </c>
      <c r="D65" s="261">
        <v>-412.26299999999998</v>
      </c>
      <c r="E65" s="261">
        <v>-367.91899999999998</v>
      </c>
      <c r="F65" s="261">
        <v>-436.14299999999997</v>
      </c>
      <c r="G65" s="340">
        <v>-415.11200000000002</v>
      </c>
      <c r="H65" s="340">
        <v>-367.93599999999998</v>
      </c>
      <c r="I65" s="340">
        <v>-380.63299999999998</v>
      </c>
      <c r="J65" s="261">
        <v>-416</v>
      </c>
      <c r="K65" s="261">
        <f>-819-J65</f>
        <v>-403</v>
      </c>
      <c r="L65" s="261">
        <f>-1180-K65-J65</f>
        <v>-361</v>
      </c>
      <c r="M65" s="261">
        <f>-1562.338-L65-K65-J65</f>
        <v>-382.33799999999997</v>
      </c>
      <c r="N65" s="261">
        <v>-498</v>
      </c>
      <c r="O65" s="261">
        <f>-1002.771-N65</f>
        <v>-504.77099999999996</v>
      </c>
      <c r="P65" s="261">
        <f>-1486-O65-N65</f>
        <v>-483.22900000000004</v>
      </c>
      <c r="Q65" s="261">
        <v>-459.45499999999998</v>
      </c>
      <c r="R65" s="261">
        <v>-512.78499999999997</v>
      </c>
      <c r="S65" s="261">
        <f>-1024.248-R65</f>
        <v>-511.46300000000008</v>
      </c>
      <c r="T65" s="261">
        <v>-485.13200000000001</v>
      </c>
      <c r="U65" s="261">
        <v>-443.95499999999998</v>
      </c>
      <c r="V65" s="261">
        <v>-501</v>
      </c>
      <c r="W65" s="261">
        <f>-987-V65</f>
        <v>-486</v>
      </c>
      <c r="X65" s="261">
        <f>-1484.417-W65-V65</f>
        <v>-497.41699999999992</v>
      </c>
      <c r="Y65" s="261">
        <v>-450.86399999999998</v>
      </c>
      <c r="Z65" s="261">
        <v>-509</v>
      </c>
      <c r="AA65" s="261">
        <f>-1028-Z65</f>
        <v>-519</v>
      </c>
      <c r="AB65" s="261">
        <f>-1531-AA65-Z65</f>
        <v>-503</v>
      </c>
      <c r="AC65" s="261">
        <f>-1968.726-SUM(Z65:AB65)</f>
        <v>-437.72600000000011</v>
      </c>
      <c r="AD65" s="261">
        <v>-482.959</v>
      </c>
      <c r="AE65" s="261">
        <f>-965.881-AD65</f>
        <v>-482.92199999999997</v>
      </c>
      <c r="AF65" s="261">
        <f>-1452-AE65-AD65</f>
        <v>-486.11899999999997</v>
      </c>
      <c r="AG65" s="261">
        <f>-1984.52-SUM(AD65:AF65)</f>
        <v>-532.52</v>
      </c>
      <c r="AH65" s="261">
        <v>-494.13200000000001</v>
      </c>
      <c r="AI65" s="261">
        <f>-989.453-AH65</f>
        <v>-495.32099999999997</v>
      </c>
      <c r="AJ65" s="261">
        <v>-499.815</v>
      </c>
      <c r="AK65" s="261">
        <f>-2047.673-AJ65-AI65-AH65</f>
        <v>-558.40499999999997</v>
      </c>
      <c r="AL65" s="261">
        <v>-494.19</v>
      </c>
      <c r="AM65" s="261">
        <f>-1016.773-AL65</f>
        <v>-522.58300000000008</v>
      </c>
      <c r="AN65" s="261">
        <f>-1518.677-AM65-AL65</f>
        <v>-501.90399999999983</v>
      </c>
      <c r="AO65" s="261">
        <f>-2016.597-AN65-AM65-AL65</f>
        <v>-497.92000000000013</v>
      </c>
      <c r="AP65" s="341">
        <f t="shared" ref="AP65:AS65" si="219">+AP66*(AO67+AO71)/4</f>
        <v>-498.05660299808318</v>
      </c>
      <c r="AQ65" s="341">
        <f t="shared" si="219"/>
        <v>-524.74897095991037</v>
      </c>
      <c r="AR65" s="341">
        <f t="shared" si="219"/>
        <v>-495.78531879241024</v>
      </c>
      <c r="AS65" s="341">
        <f t="shared" si="219"/>
        <v>-491.67429005274522</v>
      </c>
      <c r="AU65" s="341">
        <v>-569.46815384759225</v>
      </c>
      <c r="AW65" s="261">
        <v>-612.14200000000005</v>
      </c>
      <c r="AX65" s="261">
        <v>-709.51700000000005</v>
      </c>
      <c r="AY65" s="261">
        <v>-811.74199999999996</v>
      </c>
      <c r="AZ65" s="261">
        <v>-835.99400000000003</v>
      </c>
      <c r="BA65" s="261">
        <v>-931.03099999999995</v>
      </c>
      <c r="BB65" s="261">
        <v>-1083.713</v>
      </c>
      <c r="BC65" s="261">
        <v>-1171.366</v>
      </c>
      <c r="BD65" s="261">
        <v>-1241.009</v>
      </c>
      <c r="BE65" s="261">
        <v>-1284.933</v>
      </c>
      <c r="BF65" s="261">
        <v>-1001.336</v>
      </c>
      <c r="BG65" s="261">
        <v>-1045.5050000000001</v>
      </c>
      <c r="BH65" s="261">
        <v>-1154.9929999999999</v>
      </c>
      <c r="BI65" s="261">
        <v>-1194.231</v>
      </c>
      <c r="BJ65" s="261">
        <v>-1189.5830000000001</v>
      </c>
      <c r="BK65" s="261">
        <v>-1343</v>
      </c>
      <c r="BL65" s="261">
        <v>-1498.4739999999999</v>
      </c>
      <c r="BM65" s="261">
        <v>-1516.913</v>
      </c>
      <c r="BN65" s="261">
        <v>-1616</v>
      </c>
      <c r="BO65" s="261">
        <v>-1664.7729999999999</v>
      </c>
      <c r="BP65" s="261">
        <v>-1600.9190000000001</v>
      </c>
      <c r="BQ65" s="261">
        <f>+SUMIFS($B65:$AK65,$B$2:$AK$2,"="&amp;BQ$2)</f>
        <v>-380.63299999999998</v>
      </c>
      <c r="BR65" s="261">
        <f>+SUMIFS($B65:$AK65,$B$2:$AK$2,"="&amp;BR$2)</f>
        <v>-382.33799999999997</v>
      </c>
      <c r="BS65" s="261">
        <f>+SUMIFS($B65:$AK65,$B$2:$AK$2,"="&amp;BS$2)</f>
        <v>-459.45499999999998</v>
      </c>
      <c r="BT65" s="327">
        <f t="shared" ref="BT65:BX65" si="220">+SUMIFS($B65:$AO65,$B$1:$AO$1,"="&amp;BT$1)</f>
        <v>-1953.335</v>
      </c>
      <c r="BU65" s="327">
        <f t="shared" si="220"/>
        <v>-1935.2809999999999</v>
      </c>
      <c r="BV65" s="327">
        <f t="shared" si="220"/>
        <v>-1968.7260000000001</v>
      </c>
      <c r="BW65" s="327">
        <f t="shared" si="220"/>
        <v>-1984.52</v>
      </c>
      <c r="BX65" s="327">
        <f t="shared" si="220"/>
        <v>-2047.673</v>
      </c>
      <c r="BY65" s="327">
        <f>+SUMIFS($B65:$AS65,$B$1:$AS$1,"="&amp;BY$1)</f>
        <v>-2016.597</v>
      </c>
      <c r="BZ65" s="327">
        <f>+SUMIFS($B65:$AS65,$B$1:$AS$1,"="&amp;BZ$1)</f>
        <v>-2010.2651828031489</v>
      </c>
      <c r="CA65" s="341">
        <f>+CA66*(BZ67+BZ70)</f>
        <v>-1995.2862403597649</v>
      </c>
      <c r="CB65" s="341">
        <f>+CB66*(CA67+CA70)</f>
        <v>-1998.2717399968112</v>
      </c>
      <c r="CC65" s="341">
        <f>+CC66*(CB67+CB70)</f>
        <v>-2005.1974102159861</v>
      </c>
      <c r="CD65" s="341">
        <f>+CD66*(CC67+CC70)</f>
        <v>-2015.7342027889047</v>
      </c>
    </row>
    <row r="66" spans="1:990 1025:2040 2075:3055 3090:4070 4105:5120 5155:6135 6170:7150 7185:8165 8200:9215 9250:10230 10265:11245 11280:12260 12295:13310 13345:14325 14360:15340 15375:16355" ht="13.5" customHeight="1">
      <c r="A66" s="260" t="s">
        <v>99</v>
      </c>
      <c r="B66" s="246"/>
      <c r="C66" s="246">
        <f>C65*4/(B67+B70)</f>
        <v>-8.6597785785750503E-2</v>
      </c>
      <c r="D66" s="246">
        <f t="shared" ref="D66:I66" si="221">D65*4/(C67+C70)</f>
        <v>-9.1397210893383721E-2</v>
      </c>
      <c r="E66" s="246">
        <f t="shared" si="221"/>
        <v>-6.681687125136461E-2</v>
      </c>
      <c r="F66" s="246">
        <f t="shared" si="221"/>
        <v>-7.049093037965426E-2</v>
      </c>
      <c r="G66" s="246">
        <f t="shared" si="221"/>
        <v>-7.1222370280935907E-2</v>
      </c>
      <c r="H66" s="246">
        <f t="shared" si="221"/>
        <v>-6.2947848986136645E-2</v>
      </c>
      <c r="I66" s="246">
        <f t="shared" si="221"/>
        <v>-6.4777804038178316E-2</v>
      </c>
      <c r="J66" s="246">
        <f t="shared" ref="J66:AO66" si="222">J65*4/(I67+I71)</f>
        <v>-6.604195894896922E-2</v>
      </c>
      <c r="K66" s="246">
        <f t="shared" si="222"/>
        <v>-7.1945014728197809E-2</v>
      </c>
      <c r="L66" s="246">
        <f t="shared" si="222"/>
        <v>-5.7994234071877593E-2</v>
      </c>
      <c r="M66" s="246">
        <f t="shared" si="222"/>
        <v>-6.3326009248024132E-2</v>
      </c>
      <c r="N66" s="246">
        <f t="shared" si="222"/>
        <v>-7.8384362917711531E-2</v>
      </c>
      <c r="O66" s="246">
        <f t="shared" si="222"/>
        <v>-7.7980889567741976E-2</v>
      </c>
      <c r="P66" s="246">
        <f t="shared" si="222"/>
        <v>-7.5087957341660475E-2</v>
      </c>
      <c r="Q66" s="246">
        <f t="shared" si="222"/>
        <v>-7.1034318850021858E-2</v>
      </c>
      <c r="R66" s="246">
        <f t="shared" si="222"/>
        <v>-8.2297179184881011E-2</v>
      </c>
      <c r="S66" s="246">
        <f t="shared" si="222"/>
        <v>-7.4568645130029101E-2</v>
      </c>
      <c r="T66" s="246">
        <f t="shared" si="222"/>
        <v>-7.2297089995631683E-2</v>
      </c>
      <c r="U66" s="246">
        <f t="shared" si="222"/>
        <v>-6.7963128408834131E-2</v>
      </c>
      <c r="V66" s="246">
        <f t="shared" si="222"/>
        <v>-8.1821673826471417E-2</v>
      </c>
      <c r="W66" s="246">
        <f t="shared" si="222"/>
        <v>-7.8441895396683364E-2</v>
      </c>
      <c r="X66" s="246">
        <f t="shared" si="222"/>
        <v>-8.1447618907269495E-2</v>
      </c>
      <c r="Y66" s="246">
        <f t="shared" si="222"/>
        <v>-7.2058076830687393E-2</v>
      </c>
      <c r="Z66" s="246">
        <f t="shared" si="222"/>
        <v>-8.0661046593718866E-2</v>
      </c>
      <c r="AA66" s="246">
        <f t="shared" si="222"/>
        <v>-8.3685597563539785E-2</v>
      </c>
      <c r="AB66" s="246">
        <f t="shared" si="222"/>
        <v>-7.9693097603368721E-2</v>
      </c>
      <c r="AC66" s="246">
        <f t="shared" si="222"/>
        <v>-6.9705005460060365E-2</v>
      </c>
      <c r="AD66" s="246">
        <f t="shared" si="222"/>
        <v>-7.7476428241994022E-2</v>
      </c>
      <c r="AE66" s="246">
        <f t="shared" si="222"/>
        <v>-7.9409038841279395E-2</v>
      </c>
      <c r="AF66" s="246">
        <f t="shared" si="222"/>
        <v>-8.507016570621577E-2</v>
      </c>
      <c r="AG66" s="246">
        <f t="shared" si="222"/>
        <v>-9.3329504484511425E-2</v>
      </c>
      <c r="AH66" s="246">
        <f t="shared" si="222"/>
        <v>-8.7047053451638726E-2</v>
      </c>
      <c r="AI66" s="246">
        <f t="shared" si="222"/>
        <v>-8.8868718496720081E-2</v>
      </c>
      <c r="AJ66" s="246">
        <f t="shared" si="222"/>
        <v>-8.9014382301380146E-2</v>
      </c>
      <c r="AK66" s="246">
        <f t="shared" si="222"/>
        <v>-9.8053482831948507E-2</v>
      </c>
      <c r="AL66" s="246">
        <f t="shared" si="222"/>
        <v>-8.6645109563046996E-2</v>
      </c>
      <c r="AM66" s="246">
        <f t="shared" si="222"/>
        <v>-9.1158267483035932E-2</v>
      </c>
      <c r="AN66" s="246">
        <f t="shared" si="222"/>
        <v>-8.6440828955604065E-2</v>
      </c>
      <c r="AO66" s="246">
        <f t="shared" si="222"/>
        <v>-8.573401311700099E-2</v>
      </c>
      <c r="AP66" s="299">
        <f t="shared" ref="AP66" si="223">+AL66</f>
        <v>-8.6645109563046996E-2</v>
      </c>
      <c r="AQ66" s="299">
        <f t="shared" ref="AQ66" si="224">+AM66</f>
        <v>-9.1158267483035932E-2</v>
      </c>
      <c r="AR66" s="299">
        <f t="shared" ref="AR66" si="225">+AN66</f>
        <v>-8.6440828955604065E-2</v>
      </c>
      <c r="AS66" s="299">
        <f t="shared" ref="AS66" si="226">+AO66</f>
        <v>-8.573401311700099E-2</v>
      </c>
      <c r="AU66" s="299">
        <v>-9.8053482831948507E-2</v>
      </c>
      <c r="AW66" s="246" t="e">
        <f>AW65/(A67+A70-0.5*AW105)</f>
        <v>#VALUE!</v>
      </c>
      <c r="AX66" s="246">
        <f t="shared" ref="AX66:BO66" si="227">AX65/(AW67+AW70-0.5*AX105)</f>
        <v>-6.8793723447907296E-2</v>
      </c>
      <c r="AY66" s="246">
        <f t="shared" si="227"/>
        <v>-6.3162977065602408E-2</v>
      </c>
      <c r="AZ66" s="246">
        <f t="shared" si="227"/>
        <v>-6.1421662334118533E-2</v>
      </c>
      <c r="BA66" s="246">
        <f t="shared" si="227"/>
        <v>-6.2968522028864798E-2</v>
      </c>
      <c r="BB66" s="246">
        <f t="shared" si="227"/>
        <v>-7.0820983894055903E-2</v>
      </c>
      <c r="BC66" s="246">
        <f t="shared" si="227"/>
        <v>-7.0906625388619859E-2</v>
      </c>
      <c r="BD66" s="246">
        <f t="shared" si="227"/>
        <v>-7.1237458875518828E-2</v>
      </c>
      <c r="BE66" s="246">
        <f t="shared" si="227"/>
        <v>-7.2861153507771281E-2</v>
      </c>
      <c r="BF66" s="246">
        <f t="shared" si="227"/>
        <v>-5.5329876017295047E-2</v>
      </c>
      <c r="BG66" s="246">
        <f t="shared" si="227"/>
        <v>-7.1652736655418395E-2</v>
      </c>
      <c r="BH66" s="246">
        <f t="shared" si="227"/>
        <v>-7.7407903890836363E-2</v>
      </c>
      <c r="BI66" s="246">
        <f t="shared" si="227"/>
        <v>-8.0783934222939197E-2</v>
      </c>
      <c r="BJ66" s="246">
        <f t="shared" si="227"/>
        <v>-8.2088851617760389E-2</v>
      </c>
      <c r="BK66" s="246">
        <f t="shared" si="227"/>
        <v>-9.005127524976908E-2</v>
      </c>
      <c r="BL66" s="246">
        <f t="shared" si="227"/>
        <v>-8.5057839766981169E-2</v>
      </c>
      <c r="BM66" s="246">
        <f t="shared" si="227"/>
        <v>-8.8103416691960826E-2</v>
      </c>
      <c r="BN66" s="246">
        <f t="shared" si="227"/>
        <v>-8.8924573664860951E-2</v>
      </c>
      <c r="BO66" s="246">
        <f t="shared" si="227"/>
        <v>-8.9711012474818219E-2</v>
      </c>
      <c r="BP66" s="246">
        <f t="shared" ref="BP66:BZ66" si="228">BP65/(BO67+BO70)</f>
        <v>-8.4137356111797665E-2</v>
      </c>
      <c r="BQ66" s="246">
        <f t="shared" si="228"/>
        <v>-1.5379803357613754E-2</v>
      </c>
      <c r="BR66" s="246">
        <f t="shared" si="228"/>
        <v>-2.187757921494362E-2</v>
      </c>
      <c r="BS66" s="246">
        <f t="shared" si="228"/>
        <v>-2.5714522376623965E-2</v>
      </c>
      <c r="BT66" s="246">
        <f t="shared" si="228"/>
        <v>-0.11429829488934921</v>
      </c>
      <c r="BU66" s="246">
        <f t="shared" si="228"/>
        <v>-0.11822017182257796</v>
      </c>
      <c r="BV66" s="246">
        <f t="shared" si="228"/>
        <v>-0.11532362238505808</v>
      </c>
      <c r="BW66" s="246">
        <f t="shared" si="228"/>
        <v>-0.11169044729026623</v>
      </c>
      <c r="BX66" s="246">
        <f t="shared" si="228"/>
        <v>-0.11423789343818863</v>
      </c>
      <c r="BY66" s="246">
        <f t="shared" si="228"/>
        <v>-0.10702871219577696</v>
      </c>
      <c r="BZ66" s="246">
        <f t="shared" si="228"/>
        <v>-0.10510392532829135</v>
      </c>
      <c r="CA66" s="299">
        <f>+BZ66</f>
        <v>-0.10510392532829135</v>
      </c>
      <c r="CB66" s="299">
        <f>+CA66</f>
        <v>-0.10510392532829135</v>
      </c>
      <c r="CC66" s="299">
        <f>+CB66</f>
        <v>-0.10510392532829135</v>
      </c>
      <c r="CD66" s="299">
        <f>+CC66</f>
        <v>-0.10510392532829135</v>
      </c>
    </row>
    <row r="67" spans="1:990 1025:2040 2075:3055 3090:4070 4105:5120 5155:6135 6170:7150 7185:8165 8200:9215 9250:10230 10265:11245 11280:12260 12295:13310 13345:14325 14360:15340 15375:16355" s="319" customFormat="1" ht="13.5" customHeight="1">
      <c r="A67" s="319" t="s">
        <v>100</v>
      </c>
      <c r="B67" s="262">
        <v>15693.96</v>
      </c>
      <c r="C67" s="262">
        <v>15669.565000000001</v>
      </c>
      <c r="D67" s="262">
        <v>15649.043</v>
      </c>
      <c r="E67" s="262">
        <v>16298.731</v>
      </c>
      <c r="F67" s="262">
        <v>16582.428</v>
      </c>
      <c r="G67" s="262">
        <v>17005.004000000001</v>
      </c>
      <c r="H67" s="262">
        <v>17177.095000000001</v>
      </c>
      <c r="I67" s="262">
        <v>17476.248</v>
      </c>
      <c r="J67" s="262">
        <v>17592</v>
      </c>
      <c r="K67" s="262">
        <v>17837.775000000001</v>
      </c>
      <c r="L67" s="262">
        <v>17895.069</v>
      </c>
      <c r="M67" s="262">
        <v>17867.53</v>
      </c>
      <c r="N67" s="262">
        <v>17635</v>
      </c>
      <c r="O67" s="262">
        <v>17419</v>
      </c>
      <c r="P67" s="262">
        <v>17260.492999999999</v>
      </c>
      <c r="Q67" s="262">
        <v>17089.8</v>
      </c>
      <c r="R67" s="262">
        <v>16836.190999999999</v>
      </c>
      <c r="S67" s="262">
        <v>16639.909</v>
      </c>
      <c r="T67" s="262">
        <v>16348.39</v>
      </c>
      <c r="U67" s="262">
        <v>16370.142</v>
      </c>
      <c r="V67" s="262">
        <v>16440.218000000001</v>
      </c>
      <c r="W67" s="262">
        <v>16436.576000000001</v>
      </c>
      <c r="X67" s="262">
        <v>16761.641</v>
      </c>
      <c r="Y67" s="262">
        <v>17071.315999999999</v>
      </c>
      <c r="Z67" s="262">
        <v>17268.39</v>
      </c>
      <c r="AA67" s="262">
        <v>17488.222000000002</v>
      </c>
      <c r="AB67" s="262">
        <v>17583.337</v>
      </c>
      <c r="AC67" s="262">
        <v>17768.037</v>
      </c>
      <c r="AD67" s="262">
        <v>17741.584999999999</v>
      </c>
      <c r="AE67" s="262">
        <v>17836.723999999998</v>
      </c>
      <c r="AF67" s="262">
        <v>17877.642</v>
      </c>
      <c r="AG67" s="262">
        <v>17924.638999999999</v>
      </c>
      <c r="AH67" s="262">
        <v>18134.759999999998</v>
      </c>
      <c r="AI67" s="262">
        <v>18433.204000000002</v>
      </c>
      <c r="AJ67" s="262">
        <v>18798.745999999999</v>
      </c>
      <c r="AK67" s="262">
        <v>18841.645</v>
      </c>
      <c r="AL67" s="262">
        <v>18978.704000000002</v>
      </c>
      <c r="AM67" s="262">
        <v>19016.919999999998</v>
      </c>
      <c r="AN67" s="262">
        <v>19119.768</v>
      </c>
      <c r="AO67" s="262">
        <v>19126.452000000001</v>
      </c>
      <c r="AP67" s="278">
        <f t="shared" ref="AP67:AS67" si="229">+AO67-AP133+AP65</f>
        <v>19159.347217001916</v>
      </c>
      <c r="AQ67" s="278">
        <f t="shared" si="229"/>
        <v>19075.687521042004</v>
      </c>
      <c r="AR67" s="278">
        <f t="shared" si="229"/>
        <v>19073.025602249592</v>
      </c>
      <c r="AS67" s="278">
        <f t="shared" si="229"/>
        <v>18983.936462196845</v>
      </c>
      <c r="AU67" s="278">
        <v>19051.739697626661</v>
      </c>
      <c r="AW67" s="262">
        <v>9987.723</v>
      </c>
      <c r="AX67" s="262">
        <v>12179.395</v>
      </c>
      <c r="AY67" s="262">
        <v>12982.877</v>
      </c>
      <c r="AZ67" s="262">
        <v>13917.92</v>
      </c>
      <c r="BA67" s="262">
        <v>14849.541999999999</v>
      </c>
      <c r="BB67" s="262">
        <v>16129.419</v>
      </c>
      <c r="BC67" s="262">
        <v>17143.97</v>
      </c>
      <c r="BD67" s="262">
        <v>17138.171999999999</v>
      </c>
      <c r="BE67" s="262">
        <v>16622.812999999998</v>
      </c>
      <c r="BF67" s="262">
        <v>13545.28</v>
      </c>
      <c r="BG67" s="262">
        <v>14536.877</v>
      </c>
      <c r="BH67" s="262">
        <v>14453.503000000001</v>
      </c>
      <c r="BI67" s="262">
        <v>14356.111000000001</v>
      </c>
      <c r="BJ67" s="262">
        <v>14047.566000000001</v>
      </c>
      <c r="BK67" s="262">
        <v>16220.682000000001</v>
      </c>
      <c r="BL67" s="262">
        <v>15734.233</v>
      </c>
      <c r="BM67" s="262">
        <v>15878.641</v>
      </c>
      <c r="BN67" s="262">
        <v>15979.624</v>
      </c>
      <c r="BO67" s="262">
        <v>15670.353999999999</v>
      </c>
      <c r="BP67" s="262">
        <v>16298.731</v>
      </c>
      <c r="BQ67" s="262">
        <f t="shared" ref="BQ67:BW67" si="230">+SUMIFS($B67:$AK67,$B$2:$AK$2,"="&amp;BQ$2)</f>
        <v>17476.248</v>
      </c>
      <c r="BR67" s="262">
        <f t="shared" si="230"/>
        <v>17867.53</v>
      </c>
      <c r="BS67" s="262">
        <f t="shared" si="230"/>
        <v>17089.8</v>
      </c>
      <c r="BT67" s="262">
        <f t="shared" si="230"/>
        <v>16370.142</v>
      </c>
      <c r="BU67" s="262">
        <f t="shared" si="230"/>
        <v>17071.315999999999</v>
      </c>
      <c r="BV67" s="262">
        <f t="shared" si="230"/>
        <v>17768.037</v>
      </c>
      <c r="BW67" s="262">
        <f t="shared" si="230"/>
        <v>17924.638999999999</v>
      </c>
      <c r="BX67" s="262">
        <f>+SUMIFS($B67:$AO67,$B$2:$AO$2,"="&amp;BX$2)</f>
        <v>18841.645</v>
      </c>
      <c r="BY67" s="262">
        <f>+SUMIFS($B67:$AS67,$B$2:$AS$2,"="&amp;BY$2)</f>
        <v>19126.452000000001</v>
      </c>
      <c r="BZ67" s="262">
        <f>+SUMIFS($B67:$AS67,$B$2:$AS$2,"="&amp;BZ$2)</f>
        <v>18983.936462196845</v>
      </c>
      <c r="CA67" s="278">
        <f>+BZ67-CA133+CA65</f>
        <v>19012.34167758458</v>
      </c>
      <c r="CB67" s="278">
        <f>+CA67-CB133+CB65</f>
        <v>19078.235222450221</v>
      </c>
      <c r="CC67" s="278">
        <f>+CB67-CC133+CC65</f>
        <v>19178.486402793933</v>
      </c>
      <c r="CD67" s="278">
        <f>+CC67-CD133+CD65</f>
        <v>19310.30976237592</v>
      </c>
    </row>
    <row r="68" spans="1:990 1025:2040 2075:3055 3090:4070 4105:5120 5155:6135 6170:7150 7185:8165 8200:9215 9250:10230 10265:11245 11280:12260 12295:13310 13345:14325 14360:15340 15375:16355" s="319" customFormat="1" ht="13.5" customHeight="1">
      <c r="A68" s="319" t="s">
        <v>101</v>
      </c>
      <c r="B68" s="263">
        <f t="shared" ref="B68:H68" si="231">(B70+B67)/B65/4</f>
        <v>-11.669135100839984</v>
      </c>
      <c r="C68" s="263">
        <f t="shared" si="231"/>
        <v>-10.934542538956064</v>
      </c>
      <c r="D68" s="263">
        <f t="shared" si="231"/>
        <v>-13.356470869323708</v>
      </c>
      <c r="E68" s="263">
        <f t="shared" si="231"/>
        <v>-16.816803426841233</v>
      </c>
      <c r="F68" s="263">
        <f t="shared" si="231"/>
        <v>-13.363492019819189</v>
      </c>
      <c r="G68" s="263">
        <f t="shared" si="231"/>
        <v>-14.080760132205285</v>
      </c>
      <c r="H68" s="263">
        <f t="shared" si="231"/>
        <v>-15.970110970386155</v>
      </c>
      <c r="I68" s="263">
        <f t="shared" ref="I68:AO68" si="232">(I71+I67)/I65/4</f>
        <v>-16.548816707957535</v>
      </c>
      <c r="J68" s="263">
        <f t="shared" si="232"/>
        <v>-13.46514423076923</v>
      </c>
      <c r="K68" s="263">
        <f t="shared" si="232"/>
        <v>-15.446046526054589</v>
      </c>
      <c r="L68" s="263">
        <f t="shared" si="232"/>
        <v>-16.724692520775623</v>
      </c>
      <c r="M68" s="263">
        <f t="shared" si="232"/>
        <v>-16.616993340970556</v>
      </c>
      <c r="N68" s="263">
        <f t="shared" si="232"/>
        <v>-12.998010040160642</v>
      </c>
      <c r="O68" s="263">
        <f t="shared" si="232"/>
        <v>-12.74935762949932</v>
      </c>
      <c r="P68" s="263">
        <f t="shared" si="232"/>
        <v>-13.385104681217392</v>
      </c>
      <c r="Q68" s="263">
        <f t="shared" si="232"/>
        <v>-13.56148915563004</v>
      </c>
      <c r="R68" s="263">
        <f t="shared" si="232"/>
        <v>-13.375889017814485</v>
      </c>
      <c r="S68" s="263">
        <f t="shared" si="232"/>
        <v>-13.119729579656788</v>
      </c>
      <c r="T68" s="263">
        <f t="shared" si="232"/>
        <v>-13.464978603761452</v>
      </c>
      <c r="U68" s="263">
        <f t="shared" si="232"/>
        <v>-13.792100550731494</v>
      </c>
      <c r="V68" s="263">
        <f t="shared" si="232"/>
        <v>-12.366604291417165</v>
      </c>
      <c r="W68" s="263">
        <f t="shared" si="232"/>
        <v>-12.566257716049384</v>
      </c>
      <c r="X68" s="263">
        <f t="shared" si="232"/>
        <v>-12.578888538188284</v>
      </c>
      <c r="Y68" s="263">
        <f t="shared" si="232"/>
        <v>-13.996142961070301</v>
      </c>
      <c r="Z68" s="263">
        <f t="shared" si="232"/>
        <v>-12.184251473477406</v>
      </c>
      <c r="AA68" s="263">
        <f t="shared" si="232"/>
        <v>-12.161297687861271</v>
      </c>
      <c r="AB68" s="263">
        <f t="shared" si="232"/>
        <v>-12.484478131212724</v>
      </c>
      <c r="AC68" s="263">
        <f t="shared" si="232"/>
        <v>-14.240929257115178</v>
      </c>
      <c r="AD68" s="263">
        <f t="shared" si="232"/>
        <v>-12.592060092057503</v>
      </c>
      <c r="AE68" s="263">
        <f t="shared" si="232"/>
        <v>-11.832821863572171</v>
      </c>
      <c r="AF68" s="263">
        <f t="shared" si="232"/>
        <v>-11.737466546257194</v>
      </c>
      <c r="AG68" s="263">
        <f t="shared" si="232"/>
        <v>-10.659896341921431</v>
      </c>
      <c r="AH68" s="263">
        <f t="shared" si="232"/>
        <v>-11.279629734564853</v>
      </c>
      <c r="AI68" s="263">
        <f t="shared" si="232"/>
        <v>-11.336065904736525</v>
      </c>
      <c r="AJ68" s="263">
        <f t="shared" si="232"/>
        <v>-11.394020287506377</v>
      </c>
      <c r="AK68" s="263">
        <f t="shared" si="232"/>
        <v>-10.214111621493361</v>
      </c>
      <c r="AL68" s="263">
        <f t="shared" si="232"/>
        <v>-11.600194257269472</v>
      </c>
      <c r="AM68" s="263">
        <f t="shared" si="232"/>
        <v>-11.110828806141798</v>
      </c>
      <c r="AN68" s="263">
        <f t="shared" si="232"/>
        <v>-11.571396123561481</v>
      </c>
      <c r="AO68" s="263">
        <f t="shared" si="232"/>
        <v>-11.544498614235216</v>
      </c>
      <c r="AP68" s="300">
        <f t="shared" ref="AP68:AS68" si="233">(AP71+AP67)/AP65/4</f>
        <v>-11.557844067519838</v>
      </c>
      <c r="AQ68" s="300">
        <f t="shared" si="233"/>
        <v>-10.930075040964079</v>
      </c>
      <c r="AR68" s="300">
        <f t="shared" si="233"/>
        <v>-11.567264969706866</v>
      </c>
      <c r="AS68" s="300">
        <f t="shared" si="233"/>
        <v>-11.618683305438608</v>
      </c>
      <c r="AU68" s="300">
        <v>-10.168651021627534</v>
      </c>
      <c r="AW68" s="263">
        <f t="shared" ref="AW68:BO68" si="234">(AW70+AW67)/AW65</f>
        <v>-16.316023079612247</v>
      </c>
      <c r="AX68" s="263">
        <f t="shared" si="234"/>
        <v>-17.165755013621943</v>
      </c>
      <c r="AY68" s="263">
        <f t="shared" si="234"/>
        <v>-15.993846567012673</v>
      </c>
      <c r="AZ68" s="263">
        <f t="shared" si="234"/>
        <v>-16.648349150831226</v>
      </c>
      <c r="BA68" s="263">
        <f t="shared" si="234"/>
        <v>-15.949567737271906</v>
      </c>
      <c r="BB68" s="263">
        <f t="shared" si="234"/>
        <v>-14.883478374809567</v>
      </c>
      <c r="BC68" s="263">
        <f t="shared" si="234"/>
        <v>-14.635878111538155</v>
      </c>
      <c r="BD68" s="263">
        <f t="shared" si="234"/>
        <v>-13.809869227378687</v>
      </c>
      <c r="BE68" s="263">
        <f t="shared" si="234"/>
        <v>-12.936715766502999</v>
      </c>
      <c r="BF68" s="263">
        <f t="shared" si="234"/>
        <v>-13.527207650578827</v>
      </c>
      <c r="BG68" s="263">
        <f t="shared" si="234"/>
        <v>-13.95095767117326</v>
      </c>
      <c r="BH68" s="263">
        <f t="shared" si="234"/>
        <v>-12.52637375291452</v>
      </c>
      <c r="BI68" s="263">
        <f t="shared" si="234"/>
        <v>-12.021217838089951</v>
      </c>
      <c r="BJ68" s="263">
        <f t="shared" si="234"/>
        <v>-11.80881535798679</v>
      </c>
      <c r="BK68" s="263">
        <f t="shared" si="234"/>
        <v>-12.161732688011915</v>
      </c>
      <c r="BL68" s="263">
        <f t="shared" si="234"/>
        <v>-11.489965124520012</v>
      </c>
      <c r="BM68" s="263">
        <f t="shared" si="234"/>
        <v>-11.443366231286831</v>
      </c>
      <c r="BN68" s="263">
        <f t="shared" si="234"/>
        <v>-11.075451113861385</v>
      </c>
      <c r="BO68" s="263">
        <f t="shared" si="234"/>
        <v>-11.429453745345462</v>
      </c>
      <c r="BP68" s="263">
        <f t="shared" ref="BP68:BX68" si="235">(BP70+BP67)/BP65</f>
        <v>-15.459174386711631</v>
      </c>
      <c r="BQ68" s="263">
        <f t="shared" si="235"/>
        <v>-45.913643851163719</v>
      </c>
      <c r="BR68" s="263">
        <f t="shared" si="235"/>
        <v>-46.732289230994567</v>
      </c>
      <c r="BS68" s="263">
        <f t="shared" si="235"/>
        <v>-37.195808076960745</v>
      </c>
      <c r="BT68" s="263">
        <f t="shared" si="235"/>
        <v>-8.3806116206385486</v>
      </c>
      <c r="BU68" s="263">
        <f t="shared" si="235"/>
        <v>-8.8211045321067072</v>
      </c>
      <c r="BV68" s="263">
        <f t="shared" si="235"/>
        <v>-9.025144687478095</v>
      </c>
      <c r="BW68" s="263">
        <f t="shared" si="235"/>
        <v>-9.0322289520891701</v>
      </c>
      <c r="BX68" s="263">
        <f t="shared" si="235"/>
        <v>-9.2014911560586086</v>
      </c>
      <c r="BY68" s="263">
        <f>(BY70+BY67)/BY65</f>
        <v>-9.4845187213905415</v>
      </c>
      <c r="BZ68" s="263">
        <f>(BZ70+BZ67)/BZ65</f>
        <v>-9.443498611325154</v>
      </c>
      <c r="CA68" s="300">
        <f>(CA70+CA67)/CA65/4</f>
        <v>-2.3821571678553393</v>
      </c>
      <c r="CB68" s="300">
        <f>(CB70+CB67)/CB65/4</f>
        <v>-2.3868419445396181</v>
      </c>
      <c r="CC68" s="300">
        <f>(CC70+CC67)/CC65/4</f>
        <v>-2.3910970442466506</v>
      </c>
      <c r="CD68" s="300">
        <f>(CD70+CD67)/CD65/4</f>
        <v>-2.3949474260617793</v>
      </c>
    </row>
    <row r="69" spans="1:990 1025:2040 2075:3055 3090:4070 4105:5120 5155:6135 6170:7150 7185:8165 8200:9215 9250:10230 10265:11245 11280:12260 12295:13310 13345:14325 14360:15340 15375:16355" s="319" customFormat="1" ht="13.5" customHeight="1">
      <c r="A69" s="260"/>
      <c r="B69" s="264"/>
      <c r="C69" s="264"/>
      <c r="D69" s="264"/>
      <c r="E69" s="264"/>
      <c r="F69" s="264"/>
      <c r="G69" s="264"/>
      <c r="H69" s="264"/>
      <c r="I69" s="264"/>
      <c r="J69" s="264"/>
      <c r="K69" s="264"/>
      <c r="L69" s="264"/>
      <c r="M69" s="264"/>
      <c r="N69" s="264"/>
      <c r="O69" s="264"/>
      <c r="P69" s="264"/>
      <c r="Q69" s="264"/>
      <c r="R69" s="264"/>
      <c r="S69" s="264"/>
      <c r="T69" s="264"/>
      <c r="U69" s="264"/>
      <c r="V69" s="264"/>
      <c r="W69" s="264"/>
      <c r="X69" s="264"/>
      <c r="Y69" s="264"/>
      <c r="Z69" s="264"/>
      <c r="AA69" s="264"/>
      <c r="AB69" s="264"/>
      <c r="AC69" s="264"/>
      <c r="AD69" s="264"/>
      <c r="AE69" s="264"/>
      <c r="AF69" s="264"/>
      <c r="AG69" s="264"/>
      <c r="AH69" s="264"/>
      <c r="AI69" s="264"/>
      <c r="AJ69" s="264"/>
      <c r="AK69" s="264"/>
      <c r="AL69" s="264"/>
      <c r="AM69" s="264"/>
      <c r="AN69" s="264"/>
      <c r="AO69" s="264"/>
      <c r="AP69" s="301"/>
      <c r="AQ69" s="301"/>
      <c r="AR69" s="301"/>
      <c r="AS69" s="301"/>
      <c r="AU69" s="301"/>
      <c r="AW69" s="264"/>
      <c r="AX69" s="264"/>
      <c r="AY69" s="264"/>
      <c r="AZ69" s="264"/>
      <c r="BA69" s="264"/>
      <c r="BB69" s="264"/>
      <c r="BC69" s="264"/>
      <c r="BD69" s="264"/>
      <c r="BE69" s="264"/>
      <c r="BF69" s="264"/>
      <c r="BG69" s="264"/>
      <c r="BH69" s="264"/>
      <c r="BI69" s="264"/>
      <c r="BJ69" s="264"/>
      <c r="BK69" s="264"/>
      <c r="BL69" s="264"/>
      <c r="BM69" s="264"/>
      <c r="BN69" s="264"/>
      <c r="BO69" s="264"/>
      <c r="BP69" s="264"/>
      <c r="BQ69" s="264"/>
      <c r="BR69" s="264"/>
      <c r="BS69" s="264"/>
      <c r="BT69" s="264"/>
      <c r="BU69" s="264"/>
      <c r="BV69" s="264"/>
      <c r="BW69" s="264"/>
      <c r="BX69" s="264"/>
      <c r="BY69" s="264"/>
      <c r="BZ69" s="264"/>
      <c r="CA69" s="301"/>
      <c r="CB69" s="301"/>
      <c r="CC69" s="301"/>
      <c r="CD69" s="301"/>
    </row>
    <row r="70" spans="1:990 1025:2040 2075:3055 3090:4070 4105:5120 5155:6135 6170:7150 7185:8165 8200:9215 9250:10230 10265:11245 11280:12260 12295:13310 13345:14325 14360:15340 15375:16355" ht="13.5" customHeight="1">
      <c r="A70" s="260" t="s">
        <v>102</v>
      </c>
      <c r="B70" s="249">
        <v>3360.384</v>
      </c>
      <c r="C70" s="249">
        <v>2373.13</v>
      </c>
      <c r="D70" s="249">
        <v>6376.4719999999998</v>
      </c>
      <c r="E70" s="249">
        <v>8450.1550000000007</v>
      </c>
      <c r="F70" s="249">
        <v>6731.1459999999997</v>
      </c>
      <c r="G70" s="249">
        <v>6375.366</v>
      </c>
      <c r="H70" s="249">
        <f>2851.049+3475.771</f>
        <v>6326.82</v>
      </c>
      <c r="AU70" s="302"/>
      <c r="AW70" s="249">
        <v>0</v>
      </c>
      <c r="AX70" s="249">
        <v>0</v>
      </c>
      <c r="AY70" s="249">
        <v>0</v>
      </c>
      <c r="AZ70" s="249">
        <v>0</v>
      </c>
      <c r="BA70" s="249">
        <v>0</v>
      </c>
      <c r="BB70" s="249">
        <v>0</v>
      </c>
      <c r="BC70" s="249">
        <v>0</v>
      </c>
      <c r="BD70" s="249">
        <v>0</v>
      </c>
      <c r="BE70" s="249">
        <v>0</v>
      </c>
      <c r="BF70" s="249">
        <v>0</v>
      </c>
      <c r="BG70" s="249">
        <v>48.918999999999997</v>
      </c>
      <c r="BH70" s="249">
        <v>14.371</v>
      </c>
      <c r="BI70" s="249">
        <v>0</v>
      </c>
      <c r="BJ70" s="249">
        <v>0</v>
      </c>
      <c r="BK70" s="249">
        <v>112.52500000000001</v>
      </c>
      <c r="BL70" s="249">
        <v>1483.181</v>
      </c>
      <c r="BM70" s="249">
        <v>1479.95</v>
      </c>
      <c r="BN70" s="249">
        <v>1918.3050000000001</v>
      </c>
      <c r="BO70" s="249">
        <v>3357.0920000000001</v>
      </c>
      <c r="BP70" s="249">
        <v>8450.1550000000007</v>
      </c>
      <c r="BQ70" s="249">
        <f>+SUMIFS($B70:$AK70,$B$2:$AK$2,"="&amp;BQ$2)</f>
        <v>0</v>
      </c>
      <c r="BR70" s="249">
        <f>+SUMIFS($B70:$AK70,$B$2:$AK$2,"="&amp;BR$2)</f>
        <v>0</v>
      </c>
      <c r="BS70" s="249">
        <f>+SUMIFS($B70:$AK70,$B$2:$AK$2,"="&amp;BS$2)</f>
        <v>0</v>
      </c>
      <c r="BT70" s="249">
        <f t="shared" ref="BT70:BX71" si="236">+SUMIFS($B70:$AO70,$B$2:$AO$2,"="&amp;BT$2)</f>
        <v>0</v>
      </c>
      <c r="BU70" s="249">
        <f t="shared" si="236"/>
        <v>0</v>
      </c>
      <c r="BV70" s="249">
        <f t="shared" si="236"/>
        <v>0</v>
      </c>
      <c r="BW70" s="249">
        <f t="shared" si="236"/>
        <v>0</v>
      </c>
      <c r="BX70" s="249">
        <f t="shared" si="236"/>
        <v>0</v>
      </c>
      <c r="BY70" s="249">
        <f>+SUMIFS($B70:$AS70,$B$2:$AS$2,"="&amp;BY$2)</f>
        <v>0</v>
      </c>
      <c r="BZ70" s="249">
        <f>+SUMIFS($B70:$AS70,$B$2:$AS$2,"="&amp;BZ$2)</f>
        <v>0</v>
      </c>
    </row>
    <row r="71" spans="1:990 1025:2040 2075:3055 3090:4070 4105:5120 5155:6135 6170:7150 7185:8165 8200:9215 9250:10230 10265:11245 11280:12260 12295:13310 13345:14325 14360:15340 15375:16355" ht="13.5" customHeight="1">
      <c r="A71" s="260" t="s">
        <v>103</v>
      </c>
      <c r="B71" s="249">
        <v>0</v>
      </c>
      <c r="C71" s="249">
        <v>0</v>
      </c>
      <c r="D71" s="249">
        <v>1E-4</v>
      </c>
      <c r="E71" s="249">
        <v>1E-4</v>
      </c>
      <c r="F71" s="249">
        <v>1E-4</v>
      </c>
      <c r="G71" s="249"/>
      <c r="H71" s="249"/>
      <c r="I71" s="264">
        <f t="shared" ref="I71:AO71" si="237">+I72-I67</f>
        <v>7719.8549999999996</v>
      </c>
      <c r="J71" s="264">
        <f t="shared" si="237"/>
        <v>4814</v>
      </c>
      <c r="K71" s="264">
        <f t="shared" si="237"/>
        <v>7061.2519999999968</v>
      </c>
      <c r="L71" s="264">
        <f t="shared" si="237"/>
        <v>6255.3869999999988</v>
      </c>
      <c r="M71" s="264">
        <f t="shared" si="237"/>
        <v>7545.7020000000011</v>
      </c>
      <c r="N71" s="264">
        <f t="shared" si="237"/>
        <v>8257.0360000000001</v>
      </c>
      <c r="O71" s="264">
        <f t="shared" si="237"/>
        <v>8323.0240000000013</v>
      </c>
      <c r="P71" s="264">
        <f t="shared" si="237"/>
        <v>8611.7900000000009</v>
      </c>
      <c r="Q71" s="264">
        <f t="shared" si="237"/>
        <v>7833.7760000000017</v>
      </c>
      <c r="R71" s="264">
        <f t="shared" si="237"/>
        <v>10599.630000000001</v>
      </c>
      <c r="S71" s="264">
        <f t="shared" si="237"/>
        <v>10201.116000000002</v>
      </c>
      <c r="T71" s="264">
        <f t="shared" si="237"/>
        <v>9780.7780000000021</v>
      </c>
      <c r="U71" s="264">
        <f t="shared" si="237"/>
        <v>8122.1460000000006</v>
      </c>
      <c r="V71" s="264">
        <f t="shared" si="237"/>
        <v>8342.4569999999985</v>
      </c>
      <c r="W71" s="264">
        <f t="shared" si="237"/>
        <v>7992.2289999999994</v>
      </c>
      <c r="X71" s="264">
        <f t="shared" si="237"/>
        <v>8266.1710000000021</v>
      </c>
      <c r="Y71" s="264">
        <f t="shared" si="237"/>
        <v>8170.112000000001</v>
      </c>
      <c r="Z71" s="264">
        <f t="shared" si="237"/>
        <v>7538.7459999999992</v>
      </c>
      <c r="AA71" s="264">
        <f t="shared" si="237"/>
        <v>7758.6319999999978</v>
      </c>
      <c r="AB71" s="264">
        <f t="shared" si="237"/>
        <v>7535.4330000000009</v>
      </c>
      <c r="AC71" s="264">
        <f t="shared" si="237"/>
        <v>7166.4629999999997</v>
      </c>
      <c r="AD71" s="264">
        <f t="shared" si="237"/>
        <v>6584.2099999999991</v>
      </c>
      <c r="AE71" s="264">
        <f t="shared" si="237"/>
        <v>5020.5960000000014</v>
      </c>
      <c r="AF71" s="264">
        <f t="shared" si="237"/>
        <v>4945.5800000000017</v>
      </c>
      <c r="AG71" s="264">
        <f t="shared" si="237"/>
        <v>4781.7930000000015</v>
      </c>
      <c r="AH71" s="264">
        <f t="shared" si="237"/>
        <v>4159.7440000000024</v>
      </c>
      <c r="AI71" s="264">
        <f t="shared" si="237"/>
        <v>4026.7619999999988</v>
      </c>
      <c r="AJ71" s="264">
        <f t="shared" si="237"/>
        <v>3980.8630000000012</v>
      </c>
      <c r="AK71" s="264">
        <f t="shared" si="237"/>
        <v>3972.7989999999991</v>
      </c>
      <c r="AL71" s="264">
        <f t="shared" si="237"/>
        <v>3952.0959999999977</v>
      </c>
      <c r="AM71" s="264">
        <f t="shared" si="237"/>
        <v>4208.4010000000017</v>
      </c>
      <c r="AN71" s="264">
        <f t="shared" si="237"/>
        <v>4111.1519999999982</v>
      </c>
      <c r="AO71" s="264">
        <f t="shared" si="237"/>
        <v>3866.494999999999</v>
      </c>
      <c r="AP71" s="302">
        <f t="shared" ref="AP71:AS71" si="238">+AO71</f>
        <v>3866.494999999999</v>
      </c>
      <c r="AQ71" s="302">
        <f t="shared" si="238"/>
        <v>3866.494999999999</v>
      </c>
      <c r="AR71" s="302">
        <f t="shared" si="238"/>
        <v>3866.494999999999</v>
      </c>
      <c r="AS71" s="302">
        <f t="shared" si="238"/>
        <v>3866.494999999999</v>
      </c>
      <c r="AU71" s="303">
        <v>4111.1519999999982</v>
      </c>
      <c r="AW71" s="249">
        <v>0</v>
      </c>
      <c r="AX71" s="249">
        <v>0</v>
      </c>
      <c r="AY71" s="249">
        <v>0</v>
      </c>
      <c r="AZ71" s="249">
        <v>0</v>
      </c>
      <c r="BA71" s="249">
        <v>0</v>
      </c>
      <c r="BB71" s="249">
        <v>0</v>
      </c>
      <c r="BC71" s="249">
        <v>0</v>
      </c>
      <c r="BD71" s="249">
        <v>0</v>
      </c>
      <c r="BE71" s="249">
        <v>0</v>
      </c>
      <c r="BF71" s="249">
        <v>543.5</v>
      </c>
      <c r="BG71" s="249">
        <v>603.33000000000004</v>
      </c>
      <c r="BH71" s="249">
        <v>617.06799999999998</v>
      </c>
      <c r="BI71" s="249">
        <v>210.09700000000001</v>
      </c>
      <c r="BJ71" s="249">
        <v>0</v>
      </c>
      <c r="BK71" s="249">
        <v>0</v>
      </c>
      <c r="BL71" s="249">
        <v>0</v>
      </c>
      <c r="BM71" s="249">
        <v>0</v>
      </c>
      <c r="BN71" s="249">
        <v>0</v>
      </c>
      <c r="BO71" s="249">
        <v>0</v>
      </c>
      <c r="BP71" s="249">
        <v>1E-4</v>
      </c>
      <c r="BQ71" s="249" t="e">
        <f>+#REF!</f>
        <v>#REF!</v>
      </c>
      <c r="BR71" s="249" t="e">
        <f>+#REF!</f>
        <v>#REF!</v>
      </c>
      <c r="BS71" s="249" t="e">
        <f>+#REF!</f>
        <v>#REF!</v>
      </c>
      <c r="BT71" s="249">
        <f t="shared" si="236"/>
        <v>8122.1460000000006</v>
      </c>
      <c r="BU71" s="249">
        <f t="shared" si="236"/>
        <v>8170.112000000001</v>
      </c>
      <c r="BV71" s="249">
        <f t="shared" si="236"/>
        <v>7166.4629999999997</v>
      </c>
      <c r="BW71" s="249">
        <f t="shared" si="236"/>
        <v>4781.7930000000015</v>
      </c>
      <c r="BX71" s="249">
        <f t="shared" si="236"/>
        <v>3972.7989999999991</v>
      </c>
      <c r="BY71" s="249">
        <f>+SUMIFS($B71:$AS71,$B$2:$AS$2,"="&amp;BY$2)</f>
        <v>3866.494999999999</v>
      </c>
      <c r="BZ71" s="249">
        <f>+SUMIFS($B71:$AS71,$B$2:$AS$2,"="&amp;BZ$2)</f>
        <v>3866.494999999999</v>
      </c>
      <c r="CA71" s="302">
        <f>+BZ71</f>
        <v>3866.494999999999</v>
      </c>
      <c r="CB71" s="302">
        <f>+CA71</f>
        <v>3866.494999999999</v>
      </c>
      <c r="CC71" s="302">
        <f>+CB71</f>
        <v>3866.494999999999</v>
      </c>
      <c r="CD71" s="302">
        <f>+CC71</f>
        <v>3866.494999999999</v>
      </c>
    </row>
    <row r="72" spans="1:990 1025:2040 2075:3055 3090:4070 4105:5120 5155:6135 6170:7150 7185:8165 8200:9215 9250:10230 10265:11245 11280:12260 12295:13310 13345:14325 14360:15340 15375:16355" s="319" customFormat="1" ht="13.5" customHeight="1">
      <c r="A72" s="319" t="s">
        <v>104</v>
      </c>
      <c r="B72" s="247">
        <f t="shared" ref="B72:H72" si="239">+B71+B67+B70</f>
        <v>19054.343999999997</v>
      </c>
      <c r="C72" s="247">
        <f t="shared" si="239"/>
        <v>18042.695</v>
      </c>
      <c r="D72" s="247">
        <f t="shared" si="239"/>
        <v>22025.515099999997</v>
      </c>
      <c r="E72" s="247">
        <f t="shared" si="239"/>
        <v>24748.8861</v>
      </c>
      <c r="F72" s="247">
        <f t="shared" si="239"/>
        <v>23313.574100000002</v>
      </c>
      <c r="G72" s="247">
        <f t="shared" si="239"/>
        <v>23380.370000000003</v>
      </c>
      <c r="H72" s="247">
        <f t="shared" si="239"/>
        <v>23503.915000000001</v>
      </c>
      <c r="I72" s="262">
        <v>25196.102999999999</v>
      </c>
      <c r="J72" s="247">
        <f>+J73-J67</f>
        <v>22406</v>
      </c>
      <c r="K72" s="335">
        <v>24899.026999999998</v>
      </c>
      <c r="L72" s="335">
        <v>24150.455999999998</v>
      </c>
      <c r="M72" s="335">
        <v>25413.232</v>
      </c>
      <c r="N72" s="335">
        <v>25892.036</v>
      </c>
      <c r="O72" s="335">
        <v>25742.024000000001</v>
      </c>
      <c r="P72" s="335">
        <v>25872.282999999999</v>
      </c>
      <c r="Q72" s="335">
        <v>24923.576000000001</v>
      </c>
      <c r="R72" s="335">
        <v>27435.821</v>
      </c>
      <c r="S72" s="335">
        <v>26841.025000000001</v>
      </c>
      <c r="T72" s="335">
        <v>26129.168000000001</v>
      </c>
      <c r="U72" s="335">
        <v>24492.288</v>
      </c>
      <c r="V72" s="335">
        <v>24782.674999999999</v>
      </c>
      <c r="W72" s="335">
        <v>24428.805</v>
      </c>
      <c r="X72" s="335">
        <v>25027.812000000002</v>
      </c>
      <c r="Y72" s="335">
        <v>25241.428</v>
      </c>
      <c r="Z72" s="335">
        <v>24807.135999999999</v>
      </c>
      <c r="AA72" s="335">
        <v>25246.853999999999</v>
      </c>
      <c r="AB72" s="335">
        <v>25118.77</v>
      </c>
      <c r="AC72" s="335">
        <v>24934.5</v>
      </c>
      <c r="AD72" s="335">
        <v>24325.794999999998</v>
      </c>
      <c r="AE72" s="335">
        <v>22857.32</v>
      </c>
      <c r="AF72" s="335">
        <v>22823.222000000002</v>
      </c>
      <c r="AG72" s="335">
        <v>22706.432000000001</v>
      </c>
      <c r="AH72" s="335">
        <v>22294.504000000001</v>
      </c>
      <c r="AI72" s="335">
        <v>22459.966</v>
      </c>
      <c r="AJ72" s="335">
        <v>22779.609</v>
      </c>
      <c r="AK72" s="335">
        <v>22814.444</v>
      </c>
      <c r="AL72" s="335">
        <v>22930.799999999999</v>
      </c>
      <c r="AM72" s="335">
        <v>23225.321</v>
      </c>
      <c r="AN72" s="335">
        <v>23230.92</v>
      </c>
      <c r="AO72" s="335">
        <v>22992.947</v>
      </c>
      <c r="AP72" s="278">
        <f t="shared" ref="AP72:AS72" si="240">+AP70+AP67+AP71</f>
        <v>23025.842217001915</v>
      </c>
      <c r="AQ72" s="278">
        <f t="shared" si="240"/>
        <v>22942.182521042003</v>
      </c>
      <c r="AR72" s="278">
        <f t="shared" si="240"/>
        <v>22939.520602249591</v>
      </c>
      <c r="AS72" s="278">
        <f t="shared" si="240"/>
        <v>22850.431462196844</v>
      </c>
      <c r="AU72" s="278">
        <v>23162.891697626659</v>
      </c>
      <c r="AW72" s="247">
        <f t="shared" ref="AW72:BO72" si="241">+AW71+AW67+AW70</f>
        <v>9987.723</v>
      </c>
      <c r="AX72" s="247">
        <f t="shared" si="241"/>
        <v>12179.395</v>
      </c>
      <c r="AY72" s="247">
        <f t="shared" si="241"/>
        <v>12982.877</v>
      </c>
      <c r="AZ72" s="247">
        <f t="shared" si="241"/>
        <v>13917.92</v>
      </c>
      <c r="BA72" s="247">
        <f t="shared" si="241"/>
        <v>14849.541999999999</v>
      </c>
      <c r="BB72" s="247">
        <f t="shared" si="241"/>
        <v>16129.419</v>
      </c>
      <c r="BC72" s="247">
        <f t="shared" si="241"/>
        <v>17143.97</v>
      </c>
      <c r="BD72" s="247">
        <f t="shared" si="241"/>
        <v>17138.171999999999</v>
      </c>
      <c r="BE72" s="247">
        <f t="shared" si="241"/>
        <v>16622.812999999998</v>
      </c>
      <c r="BF72" s="247">
        <f t="shared" si="241"/>
        <v>14088.78</v>
      </c>
      <c r="BG72" s="247">
        <f t="shared" si="241"/>
        <v>15189.126</v>
      </c>
      <c r="BH72" s="247">
        <f t="shared" si="241"/>
        <v>15084.941999999999</v>
      </c>
      <c r="BI72" s="247">
        <f t="shared" si="241"/>
        <v>14566.208000000001</v>
      </c>
      <c r="BJ72" s="247">
        <f t="shared" si="241"/>
        <v>14047.566000000001</v>
      </c>
      <c r="BK72" s="247">
        <f t="shared" si="241"/>
        <v>16333.207</v>
      </c>
      <c r="BL72" s="247">
        <f t="shared" si="241"/>
        <v>17217.414000000001</v>
      </c>
      <c r="BM72" s="247">
        <f t="shared" si="241"/>
        <v>17358.591</v>
      </c>
      <c r="BN72" s="247">
        <f t="shared" si="241"/>
        <v>17897.929</v>
      </c>
      <c r="BO72" s="247">
        <f t="shared" si="241"/>
        <v>19027.446</v>
      </c>
      <c r="BP72" s="247">
        <f t="shared" ref="BP72:BX72" si="242">+BP71+BP67+BP70</f>
        <v>24748.8861</v>
      </c>
      <c r="BQ72" s="247" t="e">
        <f t="shared" si="242"/>
        <v>#REF!</v>
      </c>
      <c r="BR72" s="247" t="e">
        <f t="shared" si="242"/>
        <v>#REF!</v>
      </c>
      <c r="BS72" s="247" t="e">
        <f t="shared" si="242"/>
        <v>#REF!</v>
      </c>
      <c r="BT72" s="247">
        <f t="shared" si="242"/>
        <v>24492.288</v>
      </c>
      <c r="BU72" s="247">
        <f t="shared" si="242"/>
        <v>25241.428</v>
      </c>
      <c r="BV72" s="247">
        <f t="shared" si="242"/>
        <v>24934.5</v>
      </c>
      <c r="BW72" s="247">
        <f t="shared" si="242"/>
        <v>22706.432000000001</v>
      </c>
      <c r="BX72" s="247">
        <f t="shared" si="242"/>
        <v>22814.444</v>
      </c>
      <c r="BY72" s="247">
        <f>+BY71+BY67+BY70</f>
        <v>22992.947</v>
      </c>
      <c r="BZ72" s="247">
        <f>+BZ71+BZ67+BZ70</f>
        <v>22850.431462196844</v>
      </c>
      <c r="CA72" s="278">
        <f>+CA70+CA67+CA71</f>
        <v>22878.836677584579</v>
      </c>
      <c r="CB72" s="278">
        <f>+CB70+CB67+CB71</f>
        <v>22944.73022245022</v>
      </c>
      <c r="CC72" s="278">
        <f>+CC70+CC67+CC71</f>
        <v>23044.981402793932</v>
      </c>
      <c r="CD72" s="278">
        <f>+CD70+CD67+CD71</f>
        <v>23176.804762375919</v>
      </c>
    </row>
    <row r="73" spans="1:990 1025:2040 2075:3055 3090:4070 4105:5120 5155:6135 6170:7150 7185:8165 8200:9215 9250:10230 10265:11245 11280:12260 12295:13310 13345:14325 14360:15340 15375:16355" s="319" customFormat="1" ht="13.5" customHeight="1">
      <c r="A73" s="319" t="s">
        <v>105</v>
      </c>
      <c r="B73" s="247">
        <f t="shared" ref="B73:I73" si="243">+B72+B63</f>
        <v>38009.691999999995</v>
      </c>
      <c r="C73" s="247">
        <f t="shared" si="243"/>
        <v>35772.274999999994</v>
      </c>
      <c r="D73" s="247">
        <f t="shared" si="243"/>
        <v>39919.541299999997</v>
      </c>
      <c r="E73" s="247">
        <f t="shared" si="243"/>
        <v>40698.626300000004</v>
      </c>
      <c r="F73" s="247">
        <f t="shared" si="243"/>
        <v>40055.686300000001</v>
      </c>
      <c r="G73" s="247">
        <f t="shared" si="243"/>
        <v>39436.354000000007</v>
      </c>
      <c r="H73" s="247">
        <f t="shared" si="243"/>
        <v>38624.938000000002</v>
      </c>
      <c r="I73" s="247">
        <f t="shared" si="243"/>
        <v>39340.32</v>
      </c>
      <c r="J73" s="336">
        <v>39998</v>
      </c>
      <c r="K73" s="247">
        <f t="shared" ref="K73:AK73" si="244">+K72+K63</f>
        <v>43616.138999999996</v>
      </c>
      <c r="L73" s="247">
        <f t="shared" si="244"/>
        <v>40626.868999999999</v>
      </c>
      <c r="M73" s="247">
        <f t="shared" si="244"/>
        <v>41205.214999999997</v>
      </c>
      <c r="N73" s="247">
        <f t="shared" si="244"/>
        <v>43726.036</v>
      </c>
      <c r="O73" s="247">
        <f t="shared" si="244"/>
        <v>42836.024000000005</v>
      </c>
      <c r="P73" s="247">
        <f t="shared" si="244"/>
        <v>42747.914000000004</v>
      </c>
      <c r="Q73" s="247">
        <f t="shared" si="244"/>
        <v>41682.235000000001</v>
      </c>
      <c r="R73" s="247">
        <f t="shared" si="244"/>
        <v>48975.8</v>
      </c>
      <c r="S73" s="247">
        <f t="shared" si="244"/>
        <v>48566.269</v>
      </c>
      <c r="T73" s="247">
        <f t="shared" si="244"/>
        <v>58826.123999999996</v>
      </c>
      <c r="U73" s="247">
        <f t="shared" si="244"/>
        <v>53316.650999999998</v>
      </c>
      <c r="V73" s="247">
        <f t="shared" si="244"/>
        <v>51265.490999999995</v>
      </c>
      <c r="W73" s="247">
        <f t="shared" si="244"/>
        <v>49927.192000000003</v>
      </c>
      <c r="X73" s="247">
        <f t="shared" si="244"/>
        <v>50486.321000000004</v>
      </c>
      <c r="Y73" s="247">
        <f t="shared" si="244"/>
        <v>48783.997099999993</v>
      </c>
      <c r="Z73" s="247">
        <f t="shared" si="244"/>
        <v>49477.955000000002</v>
      </c>
      <c r="AA73" s="247">
        <f t="shared" si="244"/>
        <v>47081.154999999999</v>
      </c>
      <c r="AB73" s="247">
        <f t="shared" si="244"/>
        <v>54967.452000000005</v>
      </c>
      <c r="AC73" s="247">
        <f t="shared" si="244"/>
        <v>53540.619999999995</v>
      </c>
      <c r="AD73" s="247">
        <f t="shared" si="244"/>
        <v>55056.016000000003</v>
      </c>
      <c r="AE73" s="247">
        <f t="shared" si="244"/>
        <v>55591.8272</v>
      </c>
      <c r="AF73" s="247">
        <f t="shared" si="244"/>
        <v>53918.165999999997</v>
      </c>
      <c r="AG73" s="247">
        <f t="shared" si="244"/>
        <v>53918.923999999999</v>
      </c>
      <c r="AH73" s="247">
        <f t="shared" si="244"/>
        <v>56437.129000000001</v>
      </c>
      <c r="AI73" s="247">
        <f t="shared" si="244"/>
        <v>52892.044999999998</v>
      </c>
      <c r="AJ73" s="247">
        <f t="shared" si="244"/>
        <v>52961.896000000008</v>
      </c>
      <c r="AK73" s="247">
        <f t="shared" si="244"/>
        <v>52109.447</v>
      </c>
      <c r="AL73" s="247">
        <f>+AL72+AL63</f>
        <v>48120.021999999997</v>
      </c>
      <c r="AM73" s="247">
        <f>+AM72+AM63</f>
        <v>47777.921000000002</v>
      </c>
      <c r="AN73" s="247">
        <f>+AN72+AN63</f>
        <v>46635.470999999998</v>
      </c>
      <c r="AO73" s="247">
        <f>+AO72+AO63</f>
        <v>45633.156000000003</v>
      </c>
      <c r="AP73" s="278">
        <f t="shared" ref="AP73:AS73" si="245">+AP72+AP63</f>
        <v>54120.583521957727</v>
      </c>
      <c r="AQ73" s="278">
        <f t="shared" si="245"/>
        <v>52137.169198672775</v>
      </c>
      <c r="AR73" s="278">
        <f t="shared" si="245"/>
        <v>50079.006320134664</v>
      </c>
      <c r="AS73" s="278">
        <f t="shared" si="245"/>
        <v>45168.673141501</v>
      </c>
      <c r="AU73" s="278">
        <v>42656.143190259842</v>
      </c>
      <c r="AW73" s="247">
        <f t="shared" ref="AW73:BO73" si="246">+AW72+AW63</f>
        <v>15177.362999999999</v>
      </c>
      <c r="AX73" s="247">
        <f t="shared" si="246"/>
        <v>17619.510000000002</v>
      </c>
      <c r="AY73" s="247">
        <f t="shared" si="246"/>
        <v>19817.431</v>
      </c>
      <c r="AZ73" s="247">
        <f t="shared" si="246"/>
        <v>20772.077000000001</v>
      </c>
      <c r="BA73" s="247">
        <f t="shared" si="246"/>
        <v>22061.754999999997</v>
      </c>
      <c r="BB73" s="247">
        <f t="shared" si="246"/>
        <v>22873.804</v>
      </c>
      <c r="BC73" s="247">
        <f t="shared" si="246"/>
        <v>24319.620999999999</v>
      </c>
      <c r="BD73" s="247">
        <f t="shared" si="246"/>
        <v>25297.428999999996</v>
      </c>
      <c r="BE73" s="247">
        <f t="shared" si="246"/>
        <v>24974.084999999999</v>
      </c>
      <c r="BF73" s="247">
        <f t="shared" si="246"/>
        <v>22436.215</v>
      </c>
      <c r="BG73" s="247">
        <f t="shared" si="246"/>
        <v>23412.012000000002</v>
      </c>
      <c r="BH73" s="247">
        <f t="shared" si="246"/>
        <v>24248.966999999997</v>
      </c>
      <c r="BI73" s="247">
        <f t="shared" si="246"/>
        <v>27168.53</v>
      </c>
      <c r="BJ73" s="247">
        <f t="shared" si="246"/>
        <v>26941.198</v>
      </c>
      <c r="BK73" s="247">
        <f t="shared" si="246"/>
        <v>27901.205999999998</v>
      </c>
      <c r="BL73" s="247">
        <f t="shared" si="246"/>
        <v>28036.421000000002</v>
      </c>
      <c r="BM73" s="247">
        <f t="shared" si="246"/>
        <v>29539.839</v>
      </c>
      <c r="BN73" s="247">
        <f t="shared" si="246"/>
        <v>29932.444</v>
      </c>
      <c r="BO73" s="247">
        <f t="shared" si="246"/>
        <v>34047.029000000002</v>
      </c>
      <c r="BP73" s="247">
        <f t="shared" ref="BP73:CD73" si="247">+BP72+BP63</f>
        <v>40698.626300000004</v>
      </c>
      <c r="BQ73" s="247" t="e">
        <f t="shared" si="247"/>
        <v>#REF!</v>
      </c>
      <c r="BR73" s="247" t="e">
        <f t="shared" si="247"/>
        <v>#REF!</v>
      </c>
      <c r="BS73" s="247" t="e">
        <f t="shared" si="247"/>
        <v>#REF!</v>
      </c>
      <c r="BT73" s="247">
        <f t="shared" si="247"/>
        <v>53316.650999999998</v>
      </c>
      <c r="BU73" s="247">
        <f t="shared" si="247"/>
        <v>48783.997099999993</v>
      </c>
      <c r="BV73" s="247">
        <f t="shared" si="247"/>
        <v>53540.619999999995</v>
      </c>
      <c r="BW73" s="247">
        <f t="shared" si="247"/>
        <v>53918.923999999999</v>
      </c>
      <c r="BX73" s="247">
        <f t="shared" si="247"/>
        <v>52109.447</v>
      </c>
      <c r="BY73" s="247">
        <f>+BY72+BY63</f>
        <v>45633.156000000003</v>
      </c>
      <c r="BZ73" s="247">
        <f>+BZ72+BZ63</f>
        <v>45168.673141501</v>
      </c>
      <c r="CA73" s="278">
        <f t="shared" si="247"/>
        <v>47148.969269969632</v>
      </c>
      <c r="CB73" s="278">
        <f t="shared" si="247"/>
        <v>49131.719905113641</v>
      </c>
      <c r="CC73" s="278">
        <f t="shared" si="247"/>
        <v>51125.720241479517</v>
      </c>
      <c r="CD73" s="278">
        <f t="shared" si="247"/>
        <v>53191.538899290579</v>
      </c>
    </row>
    <row r="74" spans="1:990 1025:2040 2075:3055 3090:4070 4105:5120 5155:6135 6170:7150 7185:8165 8200:9215 9250:10230 10265:11245 11280:12260 12295:13310 13345:14325 14360:15340 15375:16355" ht="13.5" customHeight="1">
      <c r="AP74" s="304"/>
      <c r="AQ74" s="304"/>
      <c r="AR74" s="304"/>
      <c r="AS74" s="304"/>
      <c r="AU74" s="304"/>
      <c r="CA74" s="304"/>
      <c r="CB74" s="304"/>
      <c r="CC74" s="304"/>
      <c r="CD74" s="304"/>
    </row>
    <row r="75" spans="1:990 1025:2040 2075:3055 3090:4070 4105:5120 5155:6135 6170:7150 7185:8165 8200:9215 9250:10230 10265:11245 11280:12260 12295:13310 13345:14325 14360:15340 15375:16355" ht="13.5" customHeight="1">
      <c r="A75" s="260" t="s">
        <v>106</v>
      </c>
      <c r="B75" s="249">
        <v>0</v>
      </c>
      <c r="C75" s="249">
        <v>2500</v>
      </c>
      <c r="D75" s="249">
        <v>2530.5650000000001</v>
      </c>
      <c r="E75" s="249">
        <v>2513.239</v>
      </c>
      <c r="F75" s="249">
        <v>2606.192</v>
      </c>
      <c r="G75" s="249">
        <v>175</v>
      </c>
      <c r="H75" s="249">
        <v>1675</v>
      </c>
      <c r="I75" s="249">
        <v>1675</v>
      </c>
      <c r="J75" s="249">
        <f>1500+200</f>
        <v>1700</v>
      </c>
      <c r="K75" s="249">
        <v>1730</v>
      </c>
      <c r="L75" s="249">
        <v>630</v>
      </c>
      <c r="M75" s="249">
        <v>635</v>
      </c>
      <c r="N75" s="249">
        <f>235+400</f>
        <v>635</v>
      </c>
      <c r="O75" s="249">
        <f>635+208.335</f>
        <v>843.33500000000004</v>
      </c>
      <c r="P75" s="249">
        <f>235+207.589</f>
        <v>442.589</v>
      </c>
      <c r="Q75" s="249">
        <v>2735</v>
      </c>
      <c r="R75" s="249">
        <v>7562.0820000000003</v>
      </c>
      <c r="S75" s="249">
        <v>7399.38</v>
      </c>
      <c r="T75" s="249">
        <v>7200.5259999999998</v>
      </c>
      <c r="U75" s="249">
        <v>4236.165</v>
      </c>
      <c r="V75" s="249">
        <v>235</v>
      </c>
      <c r="W75" s="249">
        <v>3235</v>
      </c>
      <c r="X75" s="249">
        <v>3284.2069999999999</v>
      </c>
      <c r="Y75" s="249">
        <v>3257.893</v>
      </c>
      <c r="Z75" s="249">
        <v>3242.2280000000001</v>
      </c>
      <c r="AA75" s="249">
        <v>1753.365</v>
      </c>
      <c r="AB75" s="249">
        <v>2015.424</v>
      </c>
      <c r="AC75" s="249">
        <v>2048.5839999999998</v>
      </c>
      <c r="AD75" s="249">
        <v>2159.3330000000001</v>
      </c>
      <c r="AE75" s="249">
        <v>6364.2420000000002</v>
      </c>
      <c r="AF75" s="249">
        <v>4634.7569999999996</v>
      </c>
      <c r="AG75" s="249">
        <v>4527.4669999999996</v>
      </c>
      <c r="AH75" s="249">
        <v>8642.7510000000002</v>
      </c>
      <c r="AI75" s="249">
        <v>4638.3779999999997</v>
      </c>
      <c r="AJ75" s="249">
        <v>4970.8670000000002</v>
      </c>
      <c r="AK75" s="249">
        <v>5220</v>
      </c>
      <c r="AL75" s="249">
        <v>10.821</v>
      </c>
      <c r="AM75" s="249">
        <v>1501.9880000000001</v>
      </c>
      <c r="AN75" s="249">
        <v>1506.5139999999999</v>
      </c>
      <c r="AO75" s="249">
        <v>1509.011</v>
      </c>
      <c r="AP75" s="305">
        <f t="shared" ref="AP75:AS75" si="248">AP141</f>
        <v>1509.011</v>
      </c>
      <c r="AQ75" s="305">
        <f t="shared" si="248"/>
        <v>1509.011</v>
      </c>
      <c r="AR75" s="305">
        <f t="shared" si="248"/>
        <v>1509.011</v>
      </c>
      <c r="AS75" s="305">
        <f t="shared" si="248"/>
        <v>1509.011</v>
      </c>
      <c r="AU75" s="305">
        <v>1506.5139999999999</v>
      </c>
      <c r="AW75" s="249">
        <v>139.88999999999999</v>
      </c>
      <c r="AX75" s="249">
        <v>1629.7249999999999</v>
      </c>
      <c r="AY75" s="249">
        <v>135.059</v>
      </c>
      <c r="AZ75" s="249">
        <v>627.55499999999995</v>
      </c>
      <c r="BA75" s="249">
        <v>876.79700000000003</v>
      </c>
      <c r="BB75" s="249">
        <v>1606.06</v>
      </c>
      <c r="BC75" s="249">
        <v>107.905</v>
      </c>
      <c r="BD75" s="249">
        <v>660.49599999999998</v>
      </c>
      <c r="BE75" s="249">
        <v>95.465000000000003</v>
      </c>
      <c r="BF75" s="249">
        <v>96.99</v>
      </c>
      <c r="BG75" s="249">
        <v>76.108000000000004</v>
      </c>
      <c r="BH75" s="249">
        <v>3529.268</v>
      </c>
      <c r="BI75" s="249">
        <v>73.677000000000007</v>
      </c>
      <c r="BJ75" s="249">
        <v>46.686999999999998</v>
      </c>
      <c r="BK75" s="249">
        <v>17.297000000000001</v>
      </c>
      <c r="BL75" s="249">
        <v>0</v>
      </c>
      <c r="BM75" s="249">
        <v>0</v>
      </c>
      <c r="BN75" s="249">
        <v>0</v>
      </c>
      <c r="BO75" s="249">
        <v>0</v>
      </c>
      <c r="BP75" s="249">
        <v>2513.239</v>
      </c>
      <c r="BQ75" s="249">
        <f t="shared" ref="BQ75:BW76" si="249">+SUMIFS($B75:$AK75,$B$2:$AK$2,"="&amp;BQ$2)</f>
        <v>1675</v>
      </c>
      <c r="BR75" s="249">
        <f t="shared" si="249"/>
        <v>635</v>
      </c>
      <c r="BS75" s="249">
        <f t="shared" si="249"/>
        <v>2735</v>
      </c>
      <c r="BT75" s="249">
        <f t="shared" si="249"/>
        <v>4236.165</v>
      </c>
      <c r="BU75" s="249">
        <f t="shared" si="249"/>
        <v>3257.893</v>
      </c>
      <c r="BV75" s="249">
        <f t="shared" si="249"/>
        <v>2048.5839999999998</v>
      </c>
      <c r="BW75" s="249">
        <f t="shared" si="249"/>
        <v>4527.4669999999996</v>
      </c>
      <c r="BX75" s="249">
        <f>+SUMIFS($B75:$AO75,$B$2:$AO$2,"="&amp;BX$2)</f>
        <v>5220</v>
      </c>
      <c r="BY75" s="249">
        <f>+SUMIFS($B75:$AS75,$B$2:$AS$2,"="&amp;BY$2)</f>
        <v>1509.011</v>
      </c>
      <c r="BZ75" s="249">
        <f>+SUMIFS($B75:$AS75,$B$2:$AS$2,"="&amp;BZ$2)</f>
        <v>1509.011</v>
      </c>
      <c r="CA75" s="305">
        <f>CA141</f>
        <v>1509.011</v>
      </c>
      <c r="CB75" s="305">
        <f>CB141</f>
        <v>1509.011</v>
      </c>
      <c r="CC75" s="305">
        <f>CC141</f>
        <v>1509.011</v>
      </c>
      <c r="CD75" s="305">
        <f>CD141</f>
        <v>1509.011</v>
      </c>
    </row>
    <row r="76" spans="1:990 1025:2040 2075:3055 3090:4070 4105:5120 5155:6135 6170:7150 7185:8165 8200:9215 9250:10230 10265:11245 11280:12260 12295:13310 13345:14325 14360:15340 15375:16355" ht="13.5" customHeight="1">
      <c r="A76" s="260" t="s">
        <v>107</v>
      </c>
      <c r="B76" s="249">
        <v>7137.8280000000004</v>
      </c>
      <c r="C76" s="249">
        <v>5839.2280000000001</v>
      </c>
      <c r="D76" s="249">
        <v>5806.0010000000002</v>
      </c>
      <c r="E76" s="249">
        <v>6265.8440000000001</v>
      </c>
      <c r="F76" s="249">
        <v>6411.8959999999997</v>
      </c>
      <c r="G76" s="249">
        <v>6444.59</v>
      </c>
      <c r="H76" s="249">
        <v>5810.7719999999999</v>
      </c>
      <c r="I76" s="249">
        <v>6476.0469999999996</v>
      </c>
      <c r="J76" s="249">
        <v>7218.2569999999996</v>
      </c>
      <c r="K76" s="249">
        <v>7405.6450000000004</v>
      </c>
      <c r="L76" s="249">
        <v>7050.44</v>
      </c>
      <c r="M76" s="249">
        <v>7648.7730000000001</v>
      </c>
      <c r="N76" s="249">
        <v>6479</v>
      </c>
      <c r="O76" s="249">
        <v>7631.3519999999999</v>
      </c>
      <c r="P76" s="249">
        <v>7116.6090000000004</v>
      </c>
      <c r="Q76" s="249">
        <v>7456.6080000000002</v>
      </c>
      <c r="R76" s="249">
        <v>9227.6880000000001</v>
      </c>
      <c r="S76" s="249">
        <v>9186.357</v>
      </c>
      <c r="T76" s="249">
        <v>8344.5110000000004</v>
      </c>
      <c r="U76" s="249">
        <v>8238.3610000000008</v>
      </c>
      <c r="V76" s="249">
        <v>9131.5750000000007</v>
      </c>
      <c r="W76" s="249">
        <v>9065.4419999999991</v>
      </c>
      <c r="X76" s="249">
        <v>9614.5390000000007</v>
      </c>
      <c r="Y76" s="249">
        <v>10148.806</v>
      </c>
      <c r="Z76" s="249">
        <v>10195.156000000001</v>
      </c>
      <c r="AA76" s="249">
        <v>10898.206</v>
      </c>
      <c r="AB76" s="249">
        <v>10357.120000000001</v>
      </c>
      <c r="AC76" s="249">
        <v>10154.371999999999</v>
      </c>
      <c r="AD76" s="249">
        <v>10467.463</v>
      </c>
      <c r="AE76" s="249">
        <v>11255.236000000001</v>
      </c>
      <c r="AF76" s="249">
        <v>10293.18</v>
      </c>
      <c r="AG76" s="249">
        <v>10340.880999999999</v>
      </c>
      <c r="AH76" s="249">
        <v>10565.714</v>
      </c>
      <c r="AI76" s="249">
        <v>11505.544</v>
      </c>
      <c r="AJ76" s="249">
        <v>11322.382</v>
      </c>
      <c r="AK76" s="249">
        <v>11871.864</v>
      </c>
      <c r="AL76" s="249">
        <v>11787.192999999999</v>
      </c>
      <c r="AM76" s="249">
        <v>11743.947</v>
      </c>
      <c r="AN76" s="249">
        <v>10979.98</v>
      </c>
      <c r="AO76" s="249">
        <v>11293.771000000001</v>
      </c>
      <c r="AP76" s="305">
        <f t="shared" ref="AP76:AS76" si="250">-AP77*AP5*4</f>
        <v>11499.076880718054</v>
      </c>
      <c r="AQ76" s="305">
        <f t="shared" si="250"/>
        <v>11649.898821137129</v>
      </c>
      <c r="AR76" s="305">
        <f t="shared" si="250"/>
        <v>11263.788481104144</v>
      </c>
      <c r="AS76" s="305">
        <f t="shared" si="250"/>
        <v>11417.784884169081</v>
      </c>
      <c r="AU76" s="305">
        <v>11250.591986525602</v>
      </c>
      <c r="AW76" s="249">
        <v>887.28300000000002</v>
      </c>
      <c r="AX76" s="249">
        <v>1088.288</v>
      </c>
      <c r="AY76" s="249">
        <v>1375.864</v>
      </c>
      <c r="AZ76" s="249">
        <v>1223.3230000000001</v>
      </c>
      <c r="BA76" s="249">
        <v>1403.845</v>
      </c>
      <c r="BB76" s="249">
        <v>1508.761</v>
      </c>
      <c r="BC76" s="249">
        <v>1584.2750000000001</v>
      </c>
      <c r="BD76" s="249">
        <v>1800.6079999999999</v>
      </c>
      <c r="BE76" s="249">
        <v>2442.7579999999998</v>
      </c>
      <c r="BF76" s="249">
        <v>2657.991</v>
      </c>
      <c r="BG76" s="249">
        <v>2044.192</v>
      </c>
      <c r="BH76" s="249">
        <v>2395.2869999999998</v>
      </c>
      <c r="BI76" s="249">
        <v>2633.1559999999999</v>
      </c>
      <c r="BJ76" s="249">
        <v>2691.547</v>
      </c>
      <c r="BK76" s="249">
        <v>3156.348</v>
      </c>
      <c r="BL76" s="249">
        <v>2812.375</v>
      </c>
      <c r="BM76" s="249">
        <v>3319.0709999999999</v>
      </c>
      <c r="BN76" s="249">
        <v>3487.4380000000001</v>
      </c>
      <c r="BO76" s="249">
        <v>3721.6790000000001</v>
      </c>
      <c r="BP76" s="249">
        <v>6265.8440000000001</v>
      </c>
      <c r="BQ76" s="249">
        <f t="shared" si="249"/>
        <v>6476.0469999999996</v>
      </c>
      <c r="BR76" s="249">
        <f t="shared" si="249"/>
        <v>7648.7730000000001</v>
      </c>
      <c r="BS76" s="249">
        <f t="shared" si="249"/>
        <v>7456.6080000000002</v>
      </c>
      <c r="BT76" s="249">
        <f t="shared" si="249"/>
        <v>8238.3610000000008</v>
      </c>
      <c r="BU76" s="249">
        <f t="shared" si="249"/>
        <v>10148.806</v>
      </c>
      <c r="BV76" s="249">
        <f t="shared" si="249"/>
        <v>10154.371999999999</v>
      </c>
      <c r="BW76" s="249">
        <f t="shared" si="249"/>
        <v>10340.880999999999</v>
      </c>
      <c r="BX76" s="249">
        <f>+SUMIFS($B76:$AO76,$B$2:$AO$2,"="&amp;BX$2)</f>
        <v>11871.864</v>
      </c>
      <c r="BY76" s="249">
        <f>+SUMIFS($B76:$AS76,$B$2:$AS$2,"="&amp;BY$2)</f>
        <v>11293.771000000001</v>
      </c>
      <c r="BZ76" s="249">
        <f>+SUMIFS($B76:$AS76,$B$2:$AS$2,"="&amp;BZ$2)</f>
        <v>11417.784884169081</v>
      </c>
      <c r="CA76" s="305">
        <f>-CA77*CA5</f>
        <v>11694.249778683523</v>
      </c>
      <c r="CB76" s="305">
        <f>-CB77*CB5</f>
        <v>11957.232770832577</v>
      </c>
      <c r="CC76" s="305">
        <f>-CC77*CC5</f>
        <v>12227.764782562717</v>
      </c>
      <c r="CD76" s="305">
        <f>-CD77*CD5</f>
        <v>12505.883256812691</v>
      </c>
    </row>
    <row r="77" spans="1:990 1025:2040 2075:3055 3090:4070 4105:5120 5155:6135 6170:7150 7185:8165 8200:9215 9250:10230 10265:11245 11280:12260 12295:13310 13345:14325 14360:15340 15375:16355" s="246" customFormat="1" ht="13.5" customHeight="1">
      <c r="A77" s="274" t="s">
        <v>108</v>
      </c>
      <c r="B77" s="246">
        <f t="shared" ref="B77:P77" si="251">-B76/B5/4</f>
        <v>0.33720509669109644</v>
      </c>
      <c r="C77" s="246">
        <f t="shared" si="251"/>
        <v>0.27142152203564796</v>
      </c>
      <c r="D77" s="246">
        <f t="shared" si="251"/>
        <v>0.27005680773744717</v>
      </c>
      <c r="E77" s="246">
        <f t="shared" si="251"/>
        <v>0.26867652804682307</v>
      </c>
      <c r="F77" s="246">
        <f t="shared" si="251"/>
        <v>0.26082260520937739</v>
      </c>
      <c r="G77" s="246">
        <f t="shared" si="251"/>
        <v>0.25958825756660303</v>
      </c>
      <c r="H77" s="246">
        <f t="shared" si="251"/>
        <v>0.24241605550615172</v>
      </c>
      <c r="I77" s="246">
        <f t="shared" si="251"/>
        <v>0.26899164420655347</v>
      </c>
      <c r="J77" s="246">
        <f t="shared" si="251"/>
        <v>0.27842649501372796</v>
      </c>
      <c r="K77" s="246">
        <f t="shared" si="251"/>
        <v>0.27331076916717784</v>
      </c>
      <c r="L77" s="246">
        <f t="shared" si="251"/>
        <v>0.26953827954016346</v>
      </c>
      <c r="M77" s="246">
        <f t="shared" si="251"/>
        <v>0.27746643749945588</v>
      </c>
      <c r="N77" s="246">
        <f t="shared" si="251"/>
        <v>0.22688751926040063</v>
      </c>
      <c r="O77" s="246">
        <f t="shared" si="251"/>
        <v>0.26918668242417265</v>
      </c>
      <c r="P77" s="246">
        <f t="shared" si="251"/>
        <v>0.27735924988771732</v>
      </c>
      <c r="Q77" s="246">
        <f t="shared" ref="Q77:AL77" si="252">-Q76/Q5/4</f>
        <v>0.28510483860237218</v>
      </c>
      <c r="R77" s="246">
        <f t="shared" si="252"/>
        <v>0.32641093314094199</v>
      </c>
      <c r="S77" s="246">
        <f t="shared" si="252"/>
        <v>0.30150203619196658</v>
      </c>
      <c r="T77" s="246">
        <f t="shared" si="252"/>
        <v>0.30260241724780373</v>
      </c>
      <c r="U77" s="246">
        <f t="shared" si="252"/>
        <v>0.28947295742523577</v>
      </c>
      <c r="V77" s="246">
        <f t="shared" si="252"/>
        <v>0.30659384041363491</v>
      </c>
      <c r="W77" s="246">
        <f t="shared" si="252"/>
        <v>0.29515505678031062</v>
      </c>
      <c r="X77" s="246">
        <f t="shared" si="252"/>
        <v>0.31034031197297718</v>
      </c>
      <c r="Y77" s="246">
        <f t="shared" si="252"/>
        <v>0.30796512757021827</v>
      </c>
      <c r="Z77" s="246">
        <f t="shared" si="252"/>
        <v>0.29511957558546548</v>
      </c>
      <c r="AA77" s="246">
        <f t="shared" si="252"/>
        <v>0.31176625605154956</v>
      </c>
      <c r="AB77" s="246">
        <f t="shared" si="252"/>
        <v>0.30285329707128439</v>
      </c>
      <c r="AC77" s="246">
        <f t="shared" si="252"/>
        <v>0.30376009754428202</v>
      </c>
      <c r="AD77" s="246">
        <f t="shared" si="252"/>
        <v>0.30334746670425566</v>
      </c>
      <c r="AE77" s="246">
        <f t="shared" si="252"/>
        <v>0.3319042239153816</v>
      </c>
      <c r="AF77" s="246">
        <f t="shared" si="252"/>
        <v>0.33939465160576071</v>
      </c>
      <c r="AG77" s="246">
        <f t="shared" si="252"/>
        <v>0.32639201277580138</v>
      </c>
      <c r="AH77" s="246">
        <f t="shared" si="252"/>
        <v>0.33179581826718885</v>
      </c>
      <c r="AI77" s="246">
        <f t="shared" si="252"/>
        <v>0.35451467340959386</v>
      </c>
      <c r="AJ77" s="246">
        <f t="shared" si="252"/>
        <v>0.35636792446891574</v>
      </c>
      <c r="AK77" s="246">
        <f t="shared" si="252"/>
        <v>0.35410946474572008</v>
      </c>
      <c r="AL77" s="246">
        <f t="shared" si="252"/>
        <v>0.34465476608187134</v>
      </c>
      <c r="AM77" s="246">
        <f t="shared" ref="AM77:AN77" si="253">-AM76/AM5/4</f>
        <v>0.33769972653790081</v>
      </c>
      <c r="AN77" s="246">
        <f t="shared" si="253"/>
        <v>0.3340098312231255</v>
      </c>
      <c r="AO77" s="246">
        <f t="shared" ref="AO77" si="254">-AO76/AO5/4</f>
        <v>0.33701127897627664</v>
      </c>
      <c r="AP77" s="360">
        <f t="shared" ref="AP77:AS77" si="255">+AO77</f>
        <v>0.33701127897627664</v>
      </c>
      <c r="AQ77" s="360">
        <f t="shared" si="255"/>
        <v>0.33701127897627664</v>
      </c>
      <c r="AR77" s="360">
        <f t="shared" si="255"/>
        <v>0.33701127897627664</v>
      </c>
      <c r="AS77" s="360">
        <f t="shared" si="255"/>
        <v>0.33701127897627664</v>
      </c>
      <c r="AU77" s="360">
        <v>0.3340098312231255</v>
      </c>
      <c r="AW77" s="246">
        <f t="shared" ref="AW77:BR77" si="256">-AW76/AW5</f>
        <v>0.14180455304739398</v>
      </c>
      <c r="AX77" s="246">
        <f t="shared" si="256"/>
        <v>0.15088808384162553</v>
      </c>
      <c r="AY77" s="246">
        <f t="shared" si="256"/>
        <v>0.17574234851262061</v>
      </c>
      <c r="AZ77" s="246">
        <f t="shared" si="256"/>
        <v>0.13500394586391687</v>
      </c>
      <c r="BA77" s="246">
        <f t="shared" si="256"/>
        <v>0.15958052061504396</v>
      </c>
      <c r="BB77" s="246">
        <f t="shared" si="256"/>
        <v>0.16230056673277329</v>
      </c>
      <c r="BC77" s="246">
        <f t="shared" si="256"/>
        <v>0.15427455246722432</v>
      </c>
      <c r="BD77" s="246">
        <f t="shared" si="256"/>
        <v>0.14630039027076663</v>
      </c>
      <c r="BE77" s="246">
        <f t="shared" si="256"/>
        <v>0.17858220921278672</v>
      </c>
      <c r="BF77" s="246">
        <f t="shared" si="256"/>
        <v>0.23466696072237408</v>
      </c>
      <c r="BG77" s="246">
        <f t="shared" si="256"/>
        <v>0.16117484479902383</v>
      </c>
      <c r="BH77" s="246">
        <f t="shared" si="256"/>
        <v>0.1731549335544246</v>
      </c>
      <c r="BI77" s="246">
        <f t="shared" si="256"/>
        <v>0.18078960899645877</v>
      </c>
      <c r="BJ77" s="246">
        <f t="shared" si="256"/>
        <v>0.1720869100763614</v>
      </c>
      <c r="BK77" s="246">
        <f t="shared" si="256"/>
        <v>0.18507962941245457</v>
      </c>
      <c r="BL77" s="246">
        <f t="shared" si="256"/>
        <v>0.15662324979313674</v>
      </c>
      <c r="BM77" s="246">
        <f t="shared" si="256"/>
        <v>0.18688473360626889</v>
      </c>
      <c r="BN77" s="246">
        <f t="shared" si="256"/>
        <v>0.18974368070219957</v>
      </c>
      <c r="BO77" s="246">
        <f t="shared" si="256"/>
        <v>0.18816831869139239</v>
      </c>
      <c r="BP77" s="246">
        <f t="shared" si="256"/>
        <v>0.28643384278623596</v>
      </c>
      <c r="BQ77" s="246">
        <f t="shared" si="256"/>
        <v>0.26580645219547105</v>
      </c>
      <c r="BR77" s="246">
        <f t="shared" si="256"/>
        <v>0.28661798650378562</v>
      </c>
      <c r="BS77" s="246">
        <f t="shared" ref="BS77:BX77" si="257">-BS76/BS5</f>
        <v>0.27434668795329187</v>
      </c>
      <c r="BT77" s="246">
        <f t="shared" si="257"/>
        <v>0.28711472142187983</v>
      </c>
      <c r="BU77" s="246">
        <f t="shared" si="257"/>
        <v>0.32624123597676719</v>
      </c>
      <c r="BV77" s="246">
        <f t="shared" si="257"/>
        <v>0.29619786762849759</v>
      </c>
      <c r="BW77" s="246">
        <f t="shared" si="257"/>
        <v>0.31713669589197291</v>
      </c>
      <c r="BX77" s="246">
        <f t="shared" si="257"/>
        <v>0.36642698943476287</v>
      </c>
      <c r="BY77" s="246">
        <f>-BY76/BY5</f>
        <v>0.33373762483980257</v>
      </c>
      <c r="BZ77" s="246">
        <f>-BZ76/BZ5</f>
        <v>0.33583907373692901</v>
      </c>
      <c r="CA77" s="360">
        <f>BZ77</f>
        <v>0.33583907373692901</v>
      </c>
      <c r="CB77" s="360">
        <f>CA77</f>
        <v>0.33583907373692901</v>
      </c>
      <c r="CC77" s="360">
        <f>CB77</f>
        <v>0.33583907373692901</v>
      </c>
      <c r="CD77" s="360">
        <f>CC77</f>
        <v>0.33583907373692901</v>
      </c>
      <c r="DK77" s="274"/>
      <c r="ET77" s="274"/>
      <c r="GC77" s="274"/>
      <c r="HL77" s="274"/>
      <c r="IU77" s="274"/>
      <c r="KD77" s="274"/>
      <c r="LM77" s="274"/>
      <c r="MV77" s="274"/>
      <c r="OE77" s="274"/>
      <c r="PN77" s="274"/>
      <c r="QW77" s="274"/>
      <c r="SF77" s="274"/>
      <c r="TO77" s="274"/>
      <c r="UX77" s="274"/>
      <c r="WG77" s="274"/>
      <c r="XP77" s="274"/>
      <c r="YY77" s="274"/>
      <c r="AAH77" s="274"/>
      <c r="ABQ77" s="274"/>
      <c r="ACZ77" s="274"/>
      <c r="AEI77" s="274"/>
      <c r="AFR77" s="274"/>
      <c r="AHA77" s="274"/>
      <c r="AIJ77" s="274"/>
      <c r="AJS77" s="274"/>
      <c r="ALB77" s="274"/>
      <c r="AMK77" s="274"/>
      <c r="ANT77" s="274"/>
      <c r="APC77" s="274"/>
      <c r="AQL77" s="274"/>
      <c r="ARU77" s="274"/>
      <c r="ATD77" s="274"/>
      <c r="AUM77" s="274"/>
      <c r="AVV77" s="274"/>
      <c r="AXE77" s="274"/>
      <c r="AYN77" s="274"/>
      <c r="AZW77" s="274"/>
      <c r="BBF77" s="274"/>
      <c r="BCO77" s="274"/>
      <c r="BDX77" s="274"/>
      <c r="BFG77" s="274"/>
      <c r="BGP77" s="274"/>
      <c r="BHY77" s="274"/>
      <c r="BJH77" s="274"/>
      <c r="BKQ77" s="274"/>
      <c r="BLZ77" s="274"/>
      <c r="BNI77" s="274"/>
      <c r="BOR77" s="274"/>
      <c r="BQA77" s="274"/>
      <c r="BRJ77" s="274"/>
      <c r="BSS77" s="274"/>
      <c r="BUB77" s="274"/>
      <c r="BVK77" s="274"/>
      <c r="BWT77" s="274"/>
      <c r="BYC77" s="274"/>
      <c r="BZL77" s="274"/>
      <c r="CAU77" s="274"/>
      <c r="CCD77" s="274"/>
      <c r="CDM77" s="274"/>
      <c r="CEV77" s="274"/>
      <c r="CGE77" s="274"/>
      <c r="CHN77" s="274"/>
      <c r="CIW77" s="274"/>
      <c r="CKF77" s="274"/>
      <c r="CLO77" s="274"/>
      <c r="CMX77" s="274"/>
      <c r="COG77" s="274"/>
      <c r="CPP77" s="274"/>
      <c r="CQY77" s="274"/>
      <c r="CSH77" s="274"/>
      <c r="CTQ77" s="274"/>
      <c r="CUZ77" s="274"/>
      <c r="CWI77" s="274"/>
      <c r="CXR77" s="274"/>
      <c r="CZA77" s="274"/>
      <c r="DAJ77" s="274"/>
      <c r="DBS77" s="274"/>
      <c r="DDB77" s="274"/>
      <c r="DEK77" s="274"/>
      <c r="DFT77" s="274"/>
      <c r="DHC77" s="274"/>
      <c r="DIL77" s="274"/>
      <c r="DJU77" s="274"/>
      <c r="DLD77" s="274"/>
      <c r="DMM77" s="274"/>
      <c r="DNV77" s="274"/>
      <c r="DPE77" s="274"/>
      <c r="DQN77" s="274"/>
      <c r="DRW77" s="274"/>
      <c r="DTF77" s="274"/>
      <c r="DUO77" s="274"/>
      <c r="DVX77" s="274"/>
      <c r="DXG77" s="274"/>
      <c r="DYP77" s="274"/>
      <c r="DZY77" s="274"/>
      <c r="EBH77" s="274"/>
      <c r="ECQ77" s="274"/>
      <c r="EDZ77" s="274"/>
      <c r="EFI77" s="274"/>
      <c r="EGR77" s="274"/>
      <c r="EIA77" s="274"/>
      <c r="EJJ77" s="274"/>
      <c r="EKS77" s="274"/>
      <c r="EMB77" s="274"/>
      <c r="ENK77" s="274"/>
      <c r="EOT77" s="274"/>
      <c r="EQC77" s="274"/>
      <c r="ERL77" s="274"/>
      <c r="ESU77" s="274"/>
      <c r="EUD77" s="274"/>
      <c r="EVM77" s="274"/>
      <c r="EWV77" s="274"/>
      <c r="EYE77" s="274"/>
      <c r="EZN77" s="274"/>
      <c r="FAW77" s="274"/>
      <c r="FCF77" s="274"/>
      <c r="FDO77" s="274"/>
      <c r="FEX77" s="274"/>
      <c r="FGG77" s="274"/>
      <c r="FHP77" s="274"/>
      <c r="FIY77" s="274"/>
      <c r="FKH77" s="274"/>
      <c r="FLQ77" s="274"/>
      <c r="FMZ77" s="274"/>
      <c r="FOI77" s="274"/>
      <c r="FPR77" s="274"/>
      <c r="FRA77" s="274"/>
      <c r="FSJ77" s="274"/>
      <c r="FTS77" s="274"/>
      <c r="FVB77" s="274"/>
      <c r="FWK77" s="274"/>
      <c r="FXT77" s="274"/>
      <c r="FZC77" s="274"/>
      <c r="GAL77" s="274"/>
      <c r="GBU77" s="274"/>
      <c r="GDD77" s="274"/>
      <c r="GEM77" s="274"/>
      <c r="GFV77" s="274"/>
      <c r="GHE77" s="274"/>
      <c r="GIN77" s="274"/>
      <c r="GJW77" s="274"/>
      <c r="GLF77" s="274"/>
      <c r="GMO77" s="274"/>
      <c r="GNX77" s="274"/>
      <c r="GPG77" s="274"/>
      <c r="GQP77" s="274"/>
      <c r="GRY77" s="274"/>
      <c r="GTH77" s="274"/>
      <c r="GUQ77" s="274"/>
      <c r="GVZ77" s="274"/>
      <c r="GXI77" s="274"/>
      <c r="GYR77" s="274"/>
      <c r="HAA77" s="274"/>
      <c r="HBJ77" s="274"/>
      <c r="HCS77" s="274"/>
      <c r="HEB77" s="274"/>
      <c r="HFK77" s="274"/>
      <c r="HGT77" s="274"/>
      <c r="HIC77" s="274"/>
      <c r="HJL77" s="274"/>
      <c r="HKU77" s="274"/>
      <c r="HMD77" s="274"/>
      <c r="HNM77" s="274"/>
      <c r="HOV77" s="274"/>
      <c r="HQE77" s="274"/>
      <c r="HRN77" s="274"/>
      <c r="HSW77" s="274"/>
      <c r="HUF77" s="274"/>
      <c r="HVO77" s="274"/>
      <c r="HWX77" s="274"/>
      <c r="HYG77" s="274"/>
      <c r="HZP77" s="274"/>
      <c r="IAY77" s="274"/>
      <c r="ICH77" s="274"/>
      <c r="IDQ77" s="274"/>
      <c r="IEZ77" s="274"/>
      <c r="IGI77" s="274"/>
      <c r="IHR77" s="274"/>
      <c r="IJA77" s="274"/>
      <c r="IKJ77" s="274"/>
      <c r="ILS77" s="274"/>
      <c r="INB77" s="274"/>
      <c r="IOK77" s="274"/>
      <c r="IPT77" s="274"/>
      <c r="IRC77" s="274"/>
      <c r="ISL77" s="274"/>
      <c r="ITU77" s="274"/>
      <c r="IVD77" s="274"/>
      <c r="IWM77" s="274"/>
      <c r="IXV77" s="274"/>
      <c r="IZE77" s="274"/>
      <c r="JAN77" s="274"/>
      <c r="JBW77" s="274"/>
      <c r="JDF77" s="274"/>
      <c r="JEO77" s="274"/>
      <c r="JFX77" s="274"/>
      <c r="JHG77" s="274"/>
      <c r="JIP77" s="274"/>
      <c r="JJY77" s="274"/>
      <c r="JLH77" s="274"/>
      <c r="JMQ77" s="274"/>
      <c r="JNZ77" s="274"/>
      <c r="JPI77" s="274"/>
      <c r="JQR77" s="274"/>
      <c r="JSA77" s="274"/>
      <c r="JTJ77" s="274"/>
      <c r="JUS77" s="274"/>
      <c r="JWB77" s="274"/>
      <c r="JXK77" s="274"/>
      <c r="JYT77" s="274"/>
      <c r="KAC77" s="274"/>
      <c r="KBL77" s="274"/>
      <c r="KCU77" s="274"/>
      <c r="KED77" s="274"/>
      <c r="KFM77" s="274"/>
      <c r="KGV77" s="274"/>
      <c r="KIE77" s="274"/>
      <c r="KJN77" s="274"/>
      <c r="KKW77" s="274"/>
      <c r="KMF77" s="274"/>
      <c r="KNO77" s="274"/>
      <c r="KOX77" s="274"/>
      <c r="KQG77" s="274"/>
      <c r="KRP77" s="274"/>
      <c r="KSY77" s="274"/>
      <c r="KUH77" s="274"/>
      <c r="KVQ77" s="274"/>
      <c r="KWZ77" s="274"/>
      <c r="KYI77" s="274"/>
      <c r="KZR77" s="274"/>
      <c r="LBA77" s="274"/>
      <c r="LCJ77" s="274"/>
      <c r="LDS77" s="274"/>
      <c r="LFB77" s="274"/>
      <c r="LGK77" s="274"/>
      <c r="LHT77" s="274"/>
      <c r="LJC77" s="274"/>
      <c r="LKL77" s="274"/>
      <c r="LLU77" s="274"/>
      <c r="LND77" s="274"/>
      <c r="LOM77" s="274"/>
      <c r="LPV77" s="274"/>
      <c r="LRE77" s="274"/>
      <c r="LSN77" s="274"/>
      <c r="LTW77" s="274"/>
      <c r="LVF77" s="274"/>
      <c r="LWO77" s="274"/>
      <c r="LXX77" s="274"/>
      <c r="LZG77" s="274"/>
      <c r="MAP77" s="274"/>
      <c r="MBY77" s="274"/>
      <c r="MDH77" s="274"/>
      <c r="MEQ77" s="274"/>
      <c r="MFZ77" s="274"/>
      <c r="MHI77" s="274"/>
      <c r="MIR77" s="274"/>
      <c r="MKA77" s="274"/>
      <c r="MLJ77" s="274"/>
      <c r="MMS77" s="274"/>
      <c r="MOB77" s="274"/>
      <c r="MPK77" s="274"/>
      <c r="MQT77" s="274"/>
      <c r="MSC77" s="274"/>
      <c r="MTL77" s="274"/>
      <c r="MUU77" s="274"/>
      <c r="MWD77" s="274"/>
      <c r="MXM77" s="274"/>
      <c r="MYV77" s="274"/>
      <c r="NAE77" s="274"/>
      <c r="NBN77" s="274"/>
      <c r="NCW77" s="274"/>
      <c r="NEF77" s="274"/>
      <c r="NFO77" s="274"/>
      <c r="NGX77" s="274"/>
      <c r="NIG77" s="274"/>
      <c r="NJP77" s="274"/>
      <c r="NKY77" s="274"/>
      <c r="NMH77" s="274"/>
      <c r="NNQ77" s="274"/>
      <c r="NOZ77" s="274"/>
      <c r="NQI77" s="274"/>
      <c r="NRR77" s="274"/>
      <c r="NTA77" s="274"/>
      <c r="NUJ77" s="274"/>
      <c r="NVS77" s="274"/>
      <c r="NXB77" s="274"/>
      <c r="NYK77" s="274"/>
      <c r="NZT77" s="274"/>
      <c r="OBC77" s="274"/>
      <c r="OCL77" s="274"/>
      <c r="ODU77" s="274"/>
      <c r="OFD77" s="274"/>
      <c r="OGM77" s="274"/>
      <c r="OHV77" s="274"/>
      <c r="OJE77" s="274"/>
      <c r="OKN77" s="274"/>
      <c r="OLW77" s="274"/>
      <c r="ONF77" s="274"/>
      <c r="OOO77" s="274"/>
      <c r="OPX77" s="274"/>
      <c r="ORG77" s="274"/>
      <c r="OSP77" s="274"/>
      <c r="OTY77" s="274"/>
      <c r="OVH77" s="274"/>
      <c r="OWQ77" s="274"/>
      <c r="OXZ77" s="274"/>
      <c r="OZI77" s="274"/>
      <c r="PAR77" s="274"/>
      <c r="PCA77" s="274"/>
      <c r="PDJ77" s="274"/>
      <c r="PES77" s="274"/>
      <c r="PGB77" s="274"/>
      <c r="PHK77" s="274"/>
      <c r="PIT77" s="274"/>
      <c r="PKC77" s="274"/>
      <c r="PLL77" s="274"/>
      <c r="PMU77" s="274"/>
      <c r="POD77" s="274"/>
      <c r="PPM77" s="274"/>
      <c r="PQV77" s="274"/>
      <c r="PSE77" s="274"/>
      <c r="PTN77" s="274"/>
      <c r="PUW77" s="274"/>
      <c r="PWF77" s="274"/>
      <c r="PXO77" s="274"/>
      <c r="PYX77" s="274"/>
      <c r="QAG77" s="274"/>
      <c r="QBP77" s="274"/>
      <c r="QCY77" s="274"/>
      <c r="QEH77" s="274"/>
      <c r="QFQ77" s="274"/>
      <c r="QGZ77" s="274"/>
      <c r="QII77" s="274"/>
      <c r="QJR77" s="274"/>
      <c r="QLA77" s="274"/>
      <c r="QMJ77" s="274"/>
      <c r="QNS77" s="274"/>
      <c r="QPB77" s="274"/>
      <c r="QQK77" s="274"/>
      <c r="QRT77" s="274"/>
      <c r="QTC77" s="274"/>
      <c r="QUL77" s="274"/>
      <c r="QVU77" s="274"/>
      <c r="QXD77" s="274"/>
      <c r="QYM77" s="274"/>
      <c r="QZV77" s="274"/>
      <c r="RBE77" s="274"/>
      <c r="RCN77" s="274"/>
      <c r="RDW77" s="274"/>
      <c r="RFF77" s="274"/>
      <c r="RGO77" s="274"/>
      <c r="RHX77" s="274"/>
      <c r="RJG77" s="274"/>
      <c r="RKP77" s="274"/>
      <c r="RLY77" s="274"/>
      <c r="RNH77" s="274"/>
      <c r="ROQ77" s="274"/>
      <c r="RPZ77" s="274"/>
      <c r="RRI77" s="274"/>
      <c r="RSR77" s="274"/>
      <c r="RUA77" s="274"/>
      <c r="RVJ77" s="274"/>
      <c r="RWS77" s="274"/>
      <c r="RYB77" s="274"/>
      <c r="RZK77" s="274"/>
      <c r="SAT77" s="274"/>
      <c r="SCC77" s="274"/>
      <c r="SDL77" s="274"/>
      <c r="SEU77" s="274"/>
      <c r="SGD77" s="274"/>
      <c r="SHM77" s="274"/>
      <c r="SIV77" s="274"/>
      <c r="SKE77" s="274"/>
      <c r="SLN77" s="274"/>
      <c r="SMW77" s="274"/>
      <c r="SOF77" s="274"/>
      <c r="SPO77" s="274"/>
      <c r="SQX77" s="274"/>
      <c r="SSG77" s="274"/>
      <c r="STP77" s="274"/>
      <c r="SUY77" s="274"/>
      <c r="SWH77" s="274"/>
      <c r="SXQ77" s="274"/>
      <c r="SYZ77" s="274"/>
      <c r="TAI77" s="274"/>
      <c r="TBR77" s="274"/>
      <c r="TDA77" s="274"/>
      <c r="TEJ77" s="274"/>
      <c r="TFS77" s="274"/>
      <c r="THB77" s="274"/>
      <c r="TIK77" s="274"/>
      <c r="TJT77" s="274"/>
      <c r="TLC77" s="274"/>
      <c r="TML77" s="274"/>
      <c r="TNU77" s="274"/>
      <c r="TPD77" s="274"/>
      <c r="TQM77" s="274"/>
      <c r="TRV77" s="274"/>
      <c r="TTE77" s="274"/>
      <c r="TUN77" s="274"/>
      <c r="TVW77" s="274"/>
      <c r="TXF77" s="274"/>
      <c r="TYO77" s="274"/>
      <c r="TZX77" s="274"/>
      <c r="UBG77" s="274"/>
      <c r="UCP77" s="274"/>
      <c r="UDY77" s="274"/>
      <c r="UFH77" s="274"/>
      <c r="UGQ77" s="274"/>
      <c r="UHZ77" s="274"/>
      <c r="UJI77" s="274"/>
      <c r="UKR77" s="274"/>
      <c r="UMA77" s="274"/>
      <c r="UNJ77" s="274"/>
      <c r="UOS77" s="274"/>
      <c r="UQB77" s="274"/>
      <c r="URK77" s="274"/>
      <c r="UST77" s="274"/>
      <c r="UUC77" s="274"/>
      <c r="UVL77" s="274"/>
      <c r="UWU77" s="274"/>
      <c r="UYD77" s="274"/>
      <c r="UZM77" s="274"/>
      <c r="VAV77" s="274"/>
      <c r="VCE77" s="274"/>
      <c r="VDN77" s="274"/>
      <c r="VEW77" s="274"/>
      <c r="VGF77" s="274"/>
      <c r="VHO77" s="274"/>
      <c r="VIX77" s="274"/>
      <c r="VKG77" s="274"/>
      <c r="VLP77" s="274"/>
      <c r="VMY77" s="274"/>
      <c r="VOH77" s="274"/>
      <c r="VPQ77" s="274"/>
      <c r="VQZ77" s="274"/>
      <c r="VSI77" s="274"/>
      <c r="VTR77" s="274"/>
      <c r="VVA77" s="274"/>
      <c r="VWJ77" s="274"/>
      <c r="VXS77" s="274"/>
      <c r="VZB77" s="274"/>
      <c r="WAK77" s="274"/>
      <c r="WBT77" s="274"/>
      <c r="WDC77" s="274"/>
      <c r="WEL77" s="274"/>
      <c r="WFU77" s="274"/>
      <c r="WHD77" s="274"/>
      <c r="WIM77" s="274"/>
      <c r="WJV77" s="274"/>
      <c r="WLE77" s="274"/>
      <c r="WMN77" s="274"/>
      <c r="WNW77" s="274"/>
      <c r="WPF77" s="274"/>
      <c r="WQO77" s="274"/>
      <c r="WRX77" s="274"/>
      <c r="WTG77" s="274"/>
      <c r="WUP77" s="274"/>
      <c r="WVY77" s="274"/>
      <c r="WXH77" s="274"/>
      <c r="WYQ77" s="274"/>
      <c r="WZZ77" s="274"/>
      <c r="XBI77" s="274"/>
      <c r="XCR77" s="274"/>
      <c r="XEA77" s="274"/>
    </row>
    <row r="78" spans="1:990 1025:2040 2075:3055 3090:4070 4105:5120 5155:6135 6170:7150 7185:8165 8200:9215 9250:10230 10265:11245 11280:12260 12295:13310 13345:14325 14360:15340 15375:16355" ht="13.5" customHeight="1">
      <c r="A78" s="260" t="s">
        <v>109</v>
      </c>
      <c r="B78" s="249">
        <v>5316.384</v>
      </c>
      <c r="C78" s="249">
        <v>5218.99</v>
      </c>
      <c r="D78" s="249">
        <v>4175.8640999999998</v>
      </c>
      <c r="E78" s="249">
        <v>2221.3330999999998</v>
      </c>
      <c r="F78" s="249">
        <v>6893.3020999999999</v>
      </c>
      <c r="G78" s="249">
        <v>5034.8149999999996</v>
      </c>
      <c r="H78" s="249">
        <v>3983.8180000000002</v>
      </c>
      <c r="I78" s="264">
        <f t="shared" ref="I78:AH78" si="258">+I80-I75-I76</f>
        <v>1816.5430000000006</v>
      </c>
      <c r="J78" s="264">
        <f t="shared" si="258"/>
        <v>6991.5990000000002</v>
      </c>
      <c r="K78" s="264">
        <f t="shared" si="258"/>
        <v>5397.0290000000005</v>
      </c>
      <c r="L78" s="264">
        <f t="shared" si="258"/>
        <v>4181.6090000000013</v>
      </c>
      <c r="M78" s="264">
        <f t="shared" si="258"/>
        <v>1935.2267999999995</v>
      </c>
      <c r="N78" s="264">
        <f t="shared" si="258"/>
        <v>8835.9380000000001</v>
      </c>
      <c r="O78" s="264">
        <f t="shared" si="258"/>
        <v>5290.1200000000017</v>
      </c>
      <c r="P78" s="264">
        <f t="shared" si="258"/>
        <v>4556.2989999999991</v>
      </c>
      <c r="Q78" s="264">
        <f t="shared" si="258"/>
        <v>2754.5149999999994</v>
      </c>
      <c r="R78" s="264">
        <f t="shared" si="258"/>
        <v>7543.8180000000011</v>
      </c>
      <c r="S78" s="264">
        <f t="shared" si="258"/>
        <v>5875.893</v>
      </c>
      <c r="T78" s="264">
        <f t="shared" si="258"/>
        <v>5231.1369999999988</v>
      </c>
      <c r="U78" s="264">
        <f t="shared" si="258"/>
        <v>3087.773000000001</v>
      </c>
      <c r="V78" s="264">
        <f t="shared" si="258"/>
        <v>7744.7029999999977</v>
      </c>
      <c r="W78" s="264">
        <f t="shared" si="258"/>
        <v>5597.7649999999994</v>
      </c>
      <c r="X78" s="264">
        <f t="shared" si="258"/>
        <v>4478.6749999999975</v>
      </c>
      <c r="Y78" s="264">
        <f t="shared" si="258"/>
        <v>1843.4570000000003</v>
      </c>
      <c r="Z78" s="264">
        <f t="shared" si="258"/>
        <v>7171.1659999999993</v>
      </c>
      <c r="AA78" s="264">
        <f t="shared" si="258"/>
        <v>5714.3059999999987</v>
      </c>
      <c r="AB78" s="264">
        <f t="shared" si="258"/>
        <v>4763.7389999999996</v>
      </c>
      <c r="AC78" s="264">
        <f t="shared" si="258"/>
        <v>2468.7020000000011</v>
      </c>
      <c r="AD78" s="264">
        <f t="shared" si="258"/>
        <v>7813.2710000000006</v>
      </c>
      <c r="AE78" s="264">
        <f t="shared" si="258"/>
        <v>6181.1139999999978</v>
      </c>
      <c r="AF78" s="264">
        <f t="shared" si="258"/>
        <v>5651.3900000000012</v>
      </c>
      <c r="AG78" s="337">
        <f t="shared" si="258"/>
        <v>3858.503999999999</v>
      </c>
      <c r="AH78" s="337">
        <f t="shared" si="258"/>
        <v>10129.561000000002</v>
      </c>
      <c r="AI78" s="264">
        <f t="shared" ref="AI78:AN78" si="259">+AI80-AI75-AI76</f>
        <v>7417.7569999999996</v>
      </c>
      <c r="AJ78" s="264">
        <f t="shared" si="259"/>
        <v>6225.988000000003</v>
      </c>
      <c r="AK78" s="264">
        <f t="shared" si="259"/>
        <v>3402.2389999999996</v>
      </c>
      <c r="AL78" s="264">
        <f t="shared" si="259"/>
        <v>9387.5590000000011</v>
      </c>
      <c r="AM78" s="264">
        <f t="shared" si="259"/>
        <v>7307.7150000000001</v>
      </c>
      <c r="AN78" s="264">
        <f t="shared" si="259"/>
        <v>6005.1980000000003</v>
      </c>
      <c r="AO78" s="264">
        <f t="shared" ref="AO78" si="260">+AO80-AO75-AO76</f>
        <v>2767.2689999999984</v>
      </c>
      <c r="AP78" s="305">
        <f t="shared" ref="AP78" si="261">+AL78*AP3/AL3</f>
        <v>9575.3101800000022</v>
      </c>
      <c r="AQ78" s="305">
        <f t="shared" ref="AQ78" si="262">+AM78*AQ3/AM3</f>
        <v>7490.4078749999999</v>
      </c>
      <c r="AR78" s="305">
        <f t="shared" ref="AR78" si="263">+AN78*AR3/AN3</f>
        <v>6155.3279499999999</v>
      </c>
      <c r="AS78" s="305">
        <f t="shared" ref="AS78" si="264">+AO78*AS3/AO3</f>
        <v>2836.4507249999983</v>
      </c>
      <c r="AU78" s="305">
        <v>3453.2725849999993</v>
      </c>
      <c r="AW78" s="249">
        <v>669.03600000000006</v>
      </c>
      <c r="AX78" s="249">
        <v>929.45500000000004</v>
      </c>
      <c r="AY78" s="249">
        <v>1249.152</v>
      </c>
      <c r="AZ78" s="249">
        <v>1634.3</v>
      </c>
      <c r="BA78" s="249">
        <v>1472.481</v>
      </c>
      <c r="BB78" s="249">
        <v>1573.5729999999999</v>
      </c>
      <c r="BC78" s="249">
        <v>1509.557</v>
      </c>
      <c r="BD78" s="249">
        <v>2233.0839999999998</v>
      </c>
      <c r="BE78" s="249">
        <v>2500.0159999999996</v>
      </c>
      <c r="BF78" s="249">
        <v>3418.837</v>
      </c>
      <c r="BG78" s="249">
        <v>2180.9409999999998</v>
      </c>
      <c r="BH78" s="249">
        <v>2691.556</v>
      </c>
      <c r="BI78" s="249">
        <v>6526.0259999999998</v>
      </c>
      <c r="BJ78" s="249">
        <v>2570.9629999999997</v>
      </c>
      <c r="BK78" s="249">
        <v>2391.4669999999996</v>
      </c>
      <c r="BL78" s="249">
        <v>4380.0069999999996</v>
      </c>
      <c r="BM78" s="249">
        <v>5437.7569999999996</v>
      </c>
      <c r="BN78" s="249">
        <v>4388.8909999999996</v>
      </c>
      <c r="BO78" s="249">
        <v>4595.6440000000002</v>
      </c>
      <c r="BP78" s="249">
        <v>2221.3330999999998</v>
      </c>
      <c r="BQ78" s="249">
        <f t="shared" ref="BQ78:BW78" si="265">+SUMIFS($B78:$AK78,$B$2:$AK$2,"="&amp;BQ$2)</f>
        <v>1816.5430000000006</v>
      </c>
      <c r="BR78" s="249">
        <f t="shared" si="265"/>
        <v>1935.2267999999995</v>
      </c>
      <c r="BS78" s="249">
        <f t="shared" si="265"/>
        <v>2754.5149999999994</v>
      </c>
      <c r="BT78" s="249">
        <f t="shared" si="265"/>
        <v>3087.773000000001</v>
      </c>
      <c r="BU78" s="249">
        <f t="shared" si="265"/>
        <v>1843.4570000000003</v>
      </c>
      <c r="BV78" s="249">
        <f t="shared" si="265"/>
        <v>2468.7020000000011</v>
      </c>
      <c r="BW78" s="249">
        <f t="shared" si="265"/>
        <v>3858.503999999999</v>
      </c>
      <c r="BX78" s="249">
        <f>+SUMIFS($B78:$AO78,$B$2:$AO$2,"="&amp;BX$2)</f>
        <v>3402.2389999999996</v>
      </c>
      <c r="BY78" s="249">
        <f>+SUMIFS($B78:$AS78,$B$2:$AS$2,"="&amp;BY$2)</f>
        <v>2767.2689999999984</v>
      </c>
      <c r="BZ78" s="249">
        <f>+SUMIFS($B78:$AS78,$B$2:$AS$2,"="&amp;BZ$2)</f>
        <v>2836.4507249999983</v>
      </c>
      <c r="CA78" s="305">
        <f>-CA79*CA5</f>
        <v>2905.1312141174467</v>
      </c>
      <c r="CB78" s="305">
        <f>-CB79*CB5</f>
        <v>2970.4624763816455</v>
      </c>
      <c r="CC78" s="305">
        <f>-CC79*CC5</f>
        <v>3037.6690955807517</v>
      </c>
      <c r="CD78" s="305">
        <f>-CD79*CD5</f>
        <v>3106.7603734358818</v>
      </c>
    </row>
    <row r="79" spans="1:990 1025:2040 2075:3055 3090:4070 4105:5120 5155:6135 6170:7150 7185:8165 8200:9215 9250:10230 10265:11245 11280:12260 12295:13310 13345:14325 14360:15340 15375:16355" s="246" customFormat="1" ht="13.5" customHeight="1">
      <c r="A79" s="274" t="s">
        <v>108</v>
      </c>
      <c r="B79" s="246">
        <f t="shared" ref="B79:P79" si="266">-B78/B5/4</f>
        <v>0.25115648356432768</v>
      </c>
      <c r="C79" s="246">
        <f t="shared" si="266"/>
        <v>0.24259135099517026</v>
      </c>
      <c r="D79" s="246">
        <f t="shared" si="266"/>
        <v>0.19423360905232495</v>
      </c>
      <c r="E79" s="246">
        <f t="shared" si="266"/>
        <v>9.5249748468599987E-2</v>
      </c>
      <c r="F79" s="246">
        <f t="shared" si="266"/>
        <v>0.28040520498418442</v>
      </c>
      <c r="G79" s="246">
        <f t="shared" si="266"/>
        <v>0.20280248286084859</v>
      </c>
      <c r="H79" s="246">
        <f t="shared" si="266"/>
        <v>0.1661984750760151</v>
      </c>
      <c r="I79" s="246">
        <f t="shared" si="266"/>
        <v>7.5452647014746105E-2</v>
      </c>
      <c r="J79" s="246">
        <f t="shared" si="266"/>
        <v>0.26968372061447599</v>
      </c>
      <c r="K79" s="246">
        <f t="shared" si="266"/>
        <v>0.19918132008860329</v>
      </c>
      <c r="L79" s="246">
        <f t="shared" si="266"/>
        <v>0.15986288736159218</v>
      </c>
      <c r="M79" s="246">
        <f t="shared" si="266"/>
        <v>7.0202173073965174E-2</v>
      </c>
      <c r="N79" s="246">
        <f t="shared" si="266"/>
        <v>0.30942491945650652</v>
      </c>
      <c r="O79" s="246">
        <f t="shared" si="266"/>
        <v>0.18660256431963362</v>
      </c>
      <c r="P79" s="246">
        <f t="shared" si="266"/>
        <v>0.17757497607416062</v>
      </c>
      <c r="Q79" s="246">
        <f t="shared" ref="Q79:AH79" si="267">-Q78/Q5/4</f>
        <v>0.1053194099116935</v>
      </c>
      <c r="R79" s="246">
        <f t="shared" si="267"/>
        <v>0.26684741322262251</v>
      </c>
      <c r="S79" s="246">
        <f t="shared" si="267"/>
        <v>0.19285051777827958</v>
      </c>
      <c r="T79" s="246">
        <f t="shared" si="267"/>
        <v>0.18970011557950175</v>
      </c>
      <c r="U79" s="246">
        <f t="shared" si="267"/>
        <v>0.10849570468783691</v>
      </c>
      <c r="V79" s="246">
        <f t="shared" si="267"/>
        <v>0.2600294292751249</v>
      </c>
      <c r="W79" s="246">
        <f t="shared" si="267"/>
        <v>0.18225351245067095</v>
      </c>
      <c r="X79" s="246">
        <f t="shared" si="267"/>
        <v>0.14456370677008776</v>
      </c>
      <c r="Y79" s="246">
        <f t="shared" si="267"/>
        <v>5.593963173354697E-2</v>
      </c>
      <c r="Z79" s="246">
        <f t="shared" si="267"/>
        <v>0.20758401993779396</v>
      </c>
      <c r="AA79" s="246">
        <f t="shared" si="267"/>
        <v>0.16346982132223464</v>
      </c>
      <c r="AB79" s="246">
        <f t="shared" si="267"/>
        <v>0.13929683758970282</v>
      </c>
      <c r="AC79" s="246">
        <f t="shared" si="267"/>
        <v>7.3849289776636559E-2</v>
      </c>
      <c r="AD79" s="246">
        <f t="shared" si="267"/>
        <v>0.22642888391617211</v>
      </c>
      <c r="AE79" s="246">
        <f t="shared" si="267"/>
        <v>0.18227408515490029</v>
      </c>
      <c r="AF79" s="246">
        <f t="shared" si="267"/>
        <v>0.18634197984862602</v>
      </c>
      <c r="AG79" s="246">
        <f t="shared" si="267"/>
        <v>0.12178700121038823</v>
      </c>
      <c r="AH79" s="246">
        <f t="shared" si="267"/>
        <v>0.31809927664920745</v>
      </c>
      <c r="AI79" s="246">
        <f>-AI78/AI5/4</f>
        <v>0.22855970133065667</v>
      </c>
      <c r="AJ79" s="246">
        <f>-AJ78/AJ5/4</f>
        <v>0.19596074583319809</v>
      </c>
      <c r="AK79" s="246">
        <f>-AK78/AK5/4</f>
        <v>0.10148069681618774</v>
      </c>
      <c r="AL79" s="246">
        <f t="shared" ref="AL79" si="268">-AL78/AL5/4</f>
        <v>0.27449002923976612</v>
      </c>
      <c r="AM79" s="246">
        <f t="shared" ref="AM79:AN79" si="269">-AM78/AM5/4</f>
        <v>0.21013491947101903</v>
      </c>
      <c r="AN79" s="246">
        <f t="shared" si="269"/>
        <v>0.18267748852379068</v>
      </c>
      <c r="AO79" s="246">
        <f t="shared" ref="AO79" si="270">-AO78/AO5/4</f>
        <v>8.2576569417017714E-2</v>
      </c>
      <c r="AP79" s="246">
        <f t="shared" ref="AP79:AS79" si="271">-AP78/AP5/4</f>
        <v>0.28063013786501922</v>
      </c>
      <c r="AQ79" s="246">
        <f t="shared" si="271"/>
        <v>0.21668445166473352</v>
      </c>
      <c r="AR79" s="246">
        <f t="shared" si="271"/>
        <v>0.18416671694678133</v>
      </c>
      <c r="AS79" s="246">
        <f t="shared" si="271"/>
        <v>8.3721658472549032E-2</v>
      </c>
      <c r="AU79" s="360">
        <v>0.10252144906372135</v>
      </c>
      <c r="AW79" s="246">
        <f t="shared" ref="AW79:BR79" si="272">-AW78/AW5</f>
        <v>0.1069245674183054</v>
      </c>
      <c r="AX79" s="246">
        <f t="shared" si="272"/>
        <v>0.12886633314620582</v>
      </c>
      <c r="AY79" s="246">
        <f t="shared" si="272"/>
        <v>0.1595571263796691</v>
      </c>
      <c r="AZ79" s="246">
        <f t="shared" si="272"/>
        <v>0.18035870226048173</v>
      </c>
      <c r="BA79" s="246">
        <f t="shared" si="272"/>
        <v>0.16738264165613764</v>
      </c>
      <c r="BB79" s="246">
        <f t="shared" si="272"/>
        <v>0.16927252871421666</v>
      </c>
      <c r="BC79" s="246">
        <f t="shared" si="272"/>
        <v>0.14699861488615659</v>
      </c>
      <c r="BD79" s="246">
        <f t="shared" si="272"/>
        <v>0.18143930311728296</v>
      </c>
      <c r="BE79" s="246">
        <f t="shared" si="272"/>
        <v>0.18276815810134045</v>
      </c>
      <c r="BF79" s="246">
        <f t="shared" si="272"/>
        <v>0.30184003181169511</v>
      </c>
      <c r="BG79" s="246">
        <f t="shared" si="272"/>
        <v>0.17195685492890483</v>
      </c>
      <c r="BH79" s="246">
        <f t="shared" si="272"/>
        <v>0.19457217458200746</v>
      </c>
      <c r="BI79" s="246">
        <f t="shared" si="272"/>
        <v>0.44806980248823991</v>
      </c>
      <c r="BJ79" s="246">
        <f t="shared" si="272"/>
        <v>0.16437724423562072</v>
      </c>
      <c r="BK79" s="246">
        <f t="shared" si="272"/>
        <v>0.1402290958132989</v>
      </c>
      <c r="BL79" s="246">
        <f t="shared" si="272"/>
        <v>0.24392583864409526</v>
      </c>
      <c r="BM79" s="246">
        <f t="shared" si="272"/>
        <v>0.30618018366001326</v>
      </c>
      <c r="BN79" s="246">
        <f t="shared" si="272"/>
        <v>0.23878971684679623</v>
      </c>
      <c r="BO79" s="246">
        <f t="shared" si="272"/>
        <v>0.2323560427388244</v>
      </c>
      <c r="BP79" s="246">
        <f t="shared" si="272"/>
        <v>0.10154497557571845</v>
      </c>
      <c r="BQ79" s="246">
        <f t="shared" si="272"/>
        <v>7.45591948437863E-2</v>
      </c>
      <c r="BR79" s="246">
        <f t="shared" si="272"/>
        <v>7.2517619341581199E-2</v>
      </c>
      <c r="BS79" s="246">
        <f t="shared" ref="BS79:BX79" si="273">-BS78/BS5</f>
        <v>0.10134528557323404</v>
      </c>
      <c r="BT79" s="246">
        <f t="shared" si="273"/>
        <v>0.10761182772993347</v>
      </c>
      <c r="BU79" s="246">
        <f t="shared" si="273"/>
        <v>5.9259354267883674E-2</v>
      </c>
      <c r="BV79" s="246">
        <f t="shared" si="273"/>
        <v>7.2010781977478039E-2</v>
      </c>
      <c r="BW79" s="246">
        <f t="shared" si="273"/>
        <v>0.1183335549114201</v>
      </c>
      <c r="BX79" s="246">
        <f t="shared" si="273"/>
        <v>0.10501065326452005</v>
      </c>
      <c r="BY79" s="246">
        <f>-BY78/BY5</f>
        <v>8.1774438613357314E-2</v>
      </c>
      <c r="BZ79" s="246">
        <f>-BZ78/BZ5</f>
        <v>8.3430454667719395E-2</v>
      </c>
      <c r="CA79" s="360">
        <f>+BZ79</f>
        <v>8.3430454667719395E-2</v>
      </c>
      <c r="CB79" s="360">
        <f>+CA79</f>
        <v>8.3430454667719395E-2</v>
      </c>
      <c r="CC79" s="360">
        <f>+CB79</f>
        <v>8.3430454667719395E-2</v>
      </c>
      <c r="CD79" s="360">
        <f>+CC79</f>
        <v>8.3430454667719395E-2</v>
      </c>
      <c r="DK79" s="274"/>
      <c r="ET79" s="274"/>
      <c r="GC79" s="274"/>
      <c r="HL79" s="274"/>
      <c r="IU79" s="274"/>
      <c r="KD79" s="274"/>
      <c r="LM79" s="274"/>
      <c r="MV79" s="274"/>
      <c r="OE79" s="274"/>
      <c r="PN79" s="274"/>
      <c r="QW79" s="274"/>
      <c r="SF79" s="274"/>
      <c r="TO79" s="274"/>
      <c r="UX79" s="274"/>
      <c r="WG79" s="274"/>
      <c r="XP79" s="274"/>
      <c r="YY79" s="274"/>
      <c r="AAH79" s="274"/>
      <c r="ABQ79" s="274"/>
      <c r="ACZ79" s="274"/>
      <c r="AEI79" s="274"/>
      <c r="AFR79" s="274"/>
      <c r="AHA79" s="274"/>
      <c r="AIJ79" s="274"/>
      <c r="AJS79" s="274"/>
      <c r="ALB79" s="274"/>
      <c r="AMK79" s="274"/>
      <c r="ANT79" s="274"/>
      <c r="APC79" s="274"/>
      <c r="AQL79" s="274"/>
      <c r="ARU79" s="274"/>
      <c r="ATD79" s="274"/>
      <c r="AUM79" s="274"/>
      <c r="AVV79" s="274"/>
      <c r="AXE79" s="274"/>
      <c r="AYN79" s="274"/>
      <c r="AZW79" s="274"/>
      <c r="BBF79" s="274"/>
      <c r="BCO79" s="274"/>
      <c r="BDX79" s="274"/>
      <c r="BFG79" s="274"/>
      <c r="BGP79" s="274"/>
      <c r="BHY79" s="274"/>
      <c r="BJH79" s="274"/>
      <c r="BKQ79" s="274"/>
      <c r="BLZ79" s="274"/>
      <c r="BNI79" s="274"/>
      <c r="BOR79" s="274"/>
      <c r="BQA79" s="274"/>
      <c r="BRJ79" s="274"/>
      <c r="BSS79" s="274"/>
      <c r="BUB79" s="274"/>
      <c r="BVK79" s="274"/>
      <c r="BWT79" s="274"/>
      <c r="BYC79" s="274"/>
      <c r="BZL79" s="274"/>
      <c r="CAU79" s="274"/>
      <c r="CCD79" s="274"/>
      <c r="CDM79" s="274"/>
      <c r="CEV79" s="274"/>
      <c r="CGE79" s="274"/>
      <c r="CHN79" s="274"/>
      <c r="CIW79" s="274"/>
      <c r="CKF79" s="274"/>
      <c r="CLO79" s="274"/>
      <c r="CMX79" s="274"/>
      <c r="COG79" s="274"/>
      <c r="CPP79" s="274"/>
      <c r="CQY79" s="274"/>
      <c r="CSH79" s="274"/>
      <c r="CTQ79" s="274"/>
      <c r="CUZ79" s="274"/>
      <c r="CWI79" s="274"/>
      <c r="CXR79" s="274"/>
      <c r="CZA79" s="274"/>
      <c r="DAJ79" s="274"/>
      <c r="DBS79" s="274"/>
      <c r="DDB79" s="274"/>
      <c r="DEK79" s="274"/>
      <c r="DFT79" s="274"/>
      <c r="DHC79" s="274"/>
      <c r="DIL79" s="274"/>
      <c r="DJU79" s="274"/>
      <c r="DLD79" s="274"/>
      <c r="DMM79" s="274"/>
      <c r="DNV79" s="274"/>
      <c r="DPE79" s="274"/>
      <c r="DQN79" s="274"/>
      <c r="DRW79" s="274"/>
      <c r="DTF79" s="274"/>
      <c r="DUO79" s="274"/>
      <c r="DVX79" s="274"/>
      <c r="DXG79" s="274"/>
      <c r="DYP79" s="274"/>
      <c r="DZY79" s="274"/>
      <c r="EBH79" s="274"/>
      <c r="ECQ79" s="274"/>
      <c r="EDZ79" s="274"/>
      <c r="EFI79" s="274"/>
      <c r="EGR79" s="274"/>
      <c r="EIA79" s="274"/>
      <c r="EJJ79" s="274"/>
      <c r="EKS79" s="274"/>
      <c r="EMB79" s="274"/>
      <c r="ENK79" s="274"/>
      <c r="EOT79" s="274"/>
      <c r="EQC79" s="274"/>
      <c r="ERL79" s="274"/>
      <c r="ESU79" s="274"/>
      <c r="EUD79" s="274"/>
      <c r="EVM79" s="274"/>
      <c r="EWV79" s="274"/>
      <c r="EYE79" s="274"/>
      <c r="EZN79" s="274"/>
      <c r="FAW79" s="274"/>
      <c r="FCF79" s="274"/>
      <c r="FDO79" s="274"/>
      <c r="FEX79" s="274"/>
      <c r="FGG79" s="274"/>
      <c r="FHP79" s="274"/>
      <c r="FIY79" s="274"/>
      <c r="FKH79" s="274"/>
      <c r="FLQ79" s="274"/>
      <c r="FMZ79" s="274"/>
      <c r="FOI79" s="274"/>
      <c r="FPR79" s="274"/>
      <c r="FRA79" s="274"/>
      <c r="FSJ79" s="274"/>
      <c r="FTS79" s="274"/>
      <c r="FVB79" s="274"/>
      <c r="FWK79" s="274"/>
      <c r="FXT79" s="274"/>
      <c r="FZC79" s="274"/>
      <c r="GAL79" s="274"/>
      <c r="GBU79" s="274"/>
      <c r="GDD79" s="274"/>
      <c r="GEM79" s="274"/>
      <c r="GFV79" s="274"/>
      <c r="GHE79" s="274"/>
      <c r="GIN79" s="274"/>
      <c r="GJW79" s="274"/>
      <c r="GLF79" s="274"/>
      <c r="GMO79" s="274"/>
      <c r="GNX79" s="274"/>
      <c r="GPG79" s="274"/>
      <c r="GQP79" s="274"/>
      <c r="GRY79" s="274"/>
      <c r="GTH79" s="274"/>
      <c r="GUQ79" s="274"/>
      <c r="GVZ79" s="274"/>
      <c r="GXI79" s="274"/>
      <c r="GYR79" s="274"/>
      <c r="HAA79" s="274"/>
      <c r="HBJ79" s="274"/>
      <c r="HCS79" s="274"/>
      <c r="HEB79" s="274"/>
      <c r="HFK79" s="274"/>
      <c r="HGT79" s="274"/>
      <c r="HIC79" s="274"/>
      <c r="HJL79" s="274"/>
      <c r="HKU79" s="274"/>
      <c r="HMD79" s="274"/>
      <c r="HNM79" s="274"/>
      <c r="HOV79" s="274"/>
      <c r="HQE79" s="274"/>
      <c r="HRN79" s="274"/>
      <c r="HSW79" s="274"/>
      <c r="HUF79" s="274"/>
      <c r="HVO79" s="274"/>
      <c r="HWX79" s="274"/>
      <c r="HYG79" s="274"/>
      <c r="HZP79" s="274"/>
      <c r="IAY79" s="274"/>
      <c r="ICH79" s="274"/>
      <c r="IDQ79" s="274"/>
      <c r="IEZ79" s="274"/>
      <c r="IGI79" s="274"/>
      <c r="IHR79" s="274"/>
      <c r="IJA79" s="274"/>
      <c r="IKJ79" s="274"/>
      <c r="ILS79" s="274"/>
      <c r="INB79" s="274"/>
      <c r="IOK79" s="274"/>
      <c r="IPT79" s="274"/>
      <c r="IRC79" s="274"/>
      <c r="ISL79" s="274"/>
      <c r="ITU79" s="274"/>
      <c r="IVD79" s="274"/>
      <c r="IWM79" s="274"/>
      <c r="IXV79" s="274"/>
      <c r="IZE79" s="274"/>
      <c r="JAN79" s="274"/>
      <c r="JBW79" s="274"/>
      <c r="JDF79" s="274"/>
      <c r="JEO79" s="274"/>
      <c r="JFX79" s="274"/>
      <c r="JHG79" s="274"/>
      <c r="JIP79" s="274"/>
      <c r="JJY79" s="274"/>
      <c r="JLH79" s="274"/>
      <c r="JMQ79" s="274"/>
      <c r="JNZ79" s="274"/>
      <c r="JPI79" s="274"/>
      <c r="JQR79" s="274"/>
      <c r="JSA79" s="274"/>
      <c r="JTJ79" s="274"/>
      <c r="JUS79" s="274"/>
      <c r="JWB79" s="274"/>
      <c r="JXK79" s="274"/>
      <c r="JYT79" s="274"/>
      <c r="KAC79" s="274"/>
      <c r="KBL79" s="274"/>
      <c r="KCU79" s="274"/>
      <c r="KED79" s="274"/>
      <c r="KFM79" s="274"/>
      <c r="KGV79" s="274"/>
      <c r="KIE79" s="274"/>
      <c r="KJN79" s="274"/>
      <c r="KKW79" s="274"/>
      <c r="KMF79" s="274"/>
      <c r="KNO79" s="274"/>
      <c r="KOX79" s="274"/>
      <c r="KQG79" s="274"/>
      <c r="KRP79" s="274"/>
      <c r="KSY79" s="274"/>
      <c r="KUH79" s="274"/>
      <c r="KVQ79" s="274"/>
      <c r="KWZ79" s="274"/>
      <c r="KYI79" s="274"/>
      <c r="KZR79" s="274"/>
      <c r="LBA79" s="274"/>
      <c r="LCJ79" s="274"/>
      <c r="LDS79" s="274"/>
      <c r="LFB79" s="274"/>
      <c r="LGK79" s="274"/>
      <c r="LHT79" s="274"/>
      <c r="LJC79" s="274"/>
      <c r="LKL79" s="274"/>
      <c r="LLU79" s="274"/>
      <c r="LND79" s="274"/>
      <c r="LOM79" s="274"/>
      <c r="LPV79" s="274"/>
      <c r="LRE79" s="274"/>
      <c r="LSN79" s="274"/>
      <c r="LTW79" s="274"/>
      <c r="LVF79" s="274"/>
      <c r="LWO79" s="274"/>
      <c r="LXX79" s="274"/>
      <c r="LZG79" s="274"/>
      <c r="MAP79" s="274"/>
      <c r="MBY79" s="274"/>
      <c r="MDH79" s="274"/>
      <c r="MEQ79" s="274"/>
      <c r="MFZ79" s="274"/>
      <c r="MHI79" s="274"/>
      <c r="MIR79" s="274"/>
      <c r="MKA79" s="274"/>
      <c r="MLJ79" s="274"/>
      <c r="MMS79" s="274"/>
      <c r="MOB79" s="274"/>
      <c r="MPK79" s="274"/>
      <c r="MQT79" s="274"/>
      <c r="MSC79" s="274"/>
      <c r="MTL79" s="274"/>
      <c r="MUU79" s="274"/>
      <c r="MWD79" s="274"/>
      <c r="MXM79" s="274"/>
      <c r="MYV79" s="274"/>
      <c r="NAE79" s="274"/>
      <c r="NBN79" s="274"/>
      <c r="NCW79" s="274"/>
      <c r="NEF79" s="274"/>
      <c r="NFO79" s="274"/>
      <c r="NGX79" s="274"/>
      <c r="NIG79" s="274"/>
      <c r="NJP79" s="274"/>
      <c r="NKY79" s="274"/>
      <c r="NMH79" s="274"/>
      <c r="NNQ79" s="274"/>
      <c r="NOZ79" s="274"/>
      <c r="NQI79" s="274"/>
      <c r="NRR79" s="274"/>
      <c r="NTA79" s="274"/>
      <c r="NUJ79" s="274"/>
      <c r="NVS79" s="274"/>
      <c r="NXB79" s="274"/>
      <c r="NYK79" s="274"/>
      <c r="NZT79" s="274"/>
      <c r="OBC79" s="274"/>
      <c r="OCL79" s="274"/>
      <c r="ODU79" s="274"/>
      <c r="OFD79" s="274"/>
      <c r="OGM79" s="274"/>
      <c r="OHV79" s="274"/>
      <c r="OJE79" s="274"/>
      <c r="OKN79" s="274"/>
      <c r="OLW79" s="274"/>
      <c r="ONF79" s="274"/>
      <c r="OOO79" s="274"/>
      <c r="OPX79" s="274"/>
      <c r="ORG79" s="274"/>
      <c r="OSP79" s="274"/>
      <c r="OTY79" s="274"/>
      <c r="OVH79" s="274"/>
      <c r="OWQ79" s="274"/>
      <c r="OXZ79" s="274"/>
      <c r="OZI79" s="274"/>
      <c r="PAR79" s="274"/>
      <c r="PCA79" s="274"/>
      <c r="PDJ79" s="274"/>
      <c r="PES79" s="274"/>
      <c r="PGB79" s="274"/>
      <c r="PHK79" s="274"/>
      <c r="PIT79" s="274"/>
      <c r="PKC79" s="274"/>
      <c r="PLL79" s="274"/>
      <c r="PMU79" s="274"/>
      <c r="POD79" s="274"/>
      <c r="PPM79" s="274"/>
      <c r="PQV79" s="274"/>
      <c r="PSE79" s="274"/>
      <c r="PTN79" s="274"/>
      <c r="PUW79" s="274"/>
      <c r="PWF79" s="274"/>
      <c r="PXO79" s="274"/>
      <c r="PYX79" s="274"/>
      <c r="QAG79" s="274"/>
      <c r="QBP79" s="274"/>
      <c r="QCY79" s="274"/>
      <c r="QEH79" s="274"/>
      <c r="QFQ79" s="274"/>
      <c r="QGZ79" s="274"/>
      <c r="QII79" s="274"/>
      <c r="QJR79" s="274"/>
      <c r="QLA79" s="274"/>
      <c r="QMJ79" s="274"/>
      <c r="QNS79" s="274"/>
      <c r="QPB79" s="274"/>
      <c r="QQK79" s="274"/>
      <c r="QRT79" s="274"/>
      <c r="QTC79" s="274"/>
      <c r="QUL79" s="274"/>
      <c r="QVU79" s="274"/>
      <c r="QXD79" s="274"/>
      <c r="QYM79" s="274"/>
      <c r="QZV79" s="274"/>
      <c r="RBE79" s="274"/>
      <c r="RCN79" s="274"/>
      <c r="RDW79" s="274"/>
      <c r="RFF79" s="274"/>
      <c r="RGO79" s="274"/>
      <c r="RHX79" s="274"/>
      <c r="RJG79" s="274"/>
      <c r="RKP79" s="274"/>
      <c r="RLY79" s="274"/>
      <c r="RNH79" s="274"/>
      <c r="ROQ79" s="274"/>
      <c r="RPZ79" s="274"/>
      <c r="RRI79" s="274"/>
      <c r="RSR79" s="274"/>
      <c r="RUA79" s="274"/>
      <c r="RVJ79" s="274"/>
      <c r="RWS79" s="274"/>
      <c r="RYB79" s="274"/>
      <c r="RZK79" s="274"/>
      <c r="SAT79" s="274"/>
      <c r="SCC79" s="274"/>
      <c r="SDL79" s="274"/>
      <c r="SEU79" s="274"/>
      <c r="SGD79" s="274"/>
      <c r="SHM79" s="274"/>
      <c r="SIV79" s="274"/>
      <c r="SKE79" s="274"/>
      <c r="SLN79" s="274"/>
      <c r="SMW79" s="274"/>
      <c r="SOF79" s="274"/>
      <c r="SPO79" s="274"/>
      <c r="SQX79" s="274"/>
      <c r="SSG79" s="274"/>
      <c r="STP79" s="274"/>
      <c r="SUY79" s="274"/>
      <c r="SWH79" s="274"/>
      <c r="SXQ79" s="274"/>
      <c r="SYZ79" s="274"/>
      <c r="TAI79" s="274"/>
      <c r="TBR79" s="274"/>
      <c r="TDA79" s="274"/>
      <c r="TEJ79" s="274"/>
      <c r="TFS79" s="274"/>
      <c r="THB79" s="274"/>
      <c r="TIK79" s="274"/>
      <c r="TJT79" s="274"/>
      <c r="TLC79" s="274"/>
      <c r="TML79" s="274"/>
      <c r="TNU79" s="274"/>
      <c r="TPD79" s="274"/>
      <c r="TQM79" s="274"/>
      <c r="TRV79" s="274"/>
      <c r="TTE79" s="274"/>
      <c r="TUN79" s="274"/>
      <c r="TVW79" s="274"/>
      <c r="TXF79" s="274"/>
      <c r="TYO79" s="274"/>
      <c r="TZX79" s="274"/>
      <c r="UBG79" s="274"/>
      <c r="UCP79" s="274"/>
      <c r="UDY79" s="274"/>
      <c r="UFH79" s="274"/>
      <c r="UGQ79" s="274"/>
      <c r="UHZ79" s="274"/>
      <c r="UJI79" s="274"/>
      <c r="UKR79" s="274"/>
      <c r="UMA79" s="274"/>
      <c r="UNJ79" s="274"/>
      <c r="UOS79" s="274"/>
      <c r="UQB79" s="274"/>
      <c r="URK79" s="274"/>
      <c r="UST79" s="274"/>
      <c r="UUC79" s="274"/>
      <c r="UVL79" s="274"/>
      <c r="UWU79" s="274"/>
      <c r="UYD79" s="274"/>
      <c r="UZM79" s="274"/>
      <c r="VAV79" s="274"/>
      <c r="VCE79" s="274"/>
      <c r="VDN79" s="274"/>
      <c r="VEW79" s="274"/>
      <c r="VGF79" s="274"/>
      <c r="VHO79" s="274"/>
      <c r="VIX79" s="274"/>
      <c r="VKG79" s="274"/>
      <c r="VLP79" s="274"/>
      <c r="VMY79" s="274"/>
      <c r="VOH79" s="274"/>
      <c r="VPQ79" s="274"/>
      <c r="VQZ79" s="274"/>
      <c r="VSI79" s="274"/>
      <c r="VTR79" s="274"/>
      <c r="VVA79" s="274"/>
      <c r="VWJ79" s="274"/>
      <c r="VXS79" s="274"/>
      <c r="VZB79" s="274"/>
      <c r="WAK79" s="274"/>
      <c r="WBT79" s="274"/>
      <c r="WDC79" s="274"/>
      <c r="WEL79" s="274"/>
      <c r="WFU79" s="274"/>
      <c r="WHD79" s="274"/>
      <c r="WIM79" s="274"/>
      <c r="WJV79" s="274"/>
      <c r="WLE79" s="274"/>
      <c r="WMN79" s="274"/>
      <c r="WNW79" s="274"/>
      <c r="WPF79" s="274"/>
      <c r="WQO79" s="274"/>
      <c r="WRX79" s="274"/>
      <c r="WTG79" s="274"/>
      <c r="WUP79" s="274"/>
      <c r="WVY79" s="274"/>
      <c r="WXH79" s="274"/>
      <c r="WYQ79" s="274"/>
      <c r="WZZ79" s="274"/>
      <c r="XBI79" s="274"/>
      <c r="XCR79" s="274"/>
      <c r="XEA79" s="274"/>
    </row>
    <row r="80" spans="1:990 1025:2040 2075:3055 3090:4070 4105:5120 5155:6135 6170:7150 7185:8165 8200:9215 9250:10230 10265:11245 11280:12260 12295:13310 13345:14325 14360:15340 15375:16355" s="319" customFormat="1" ht="13.5" customHeight="1">
      <c r="A80" s="319" t="s">
        <v>110</v>
      </c>
      <c r="B80" s="247">
        <f t="shared" ref="B80:H80" si="274">+B78+B75+B76</f>
        <v>12454.212</v>
      </c>
      <c r="C80" s="247">
        <f t="shared" si="274"/>
        <v>13558.218000000001</v>
      </c>
      <c r="D80" s="247">
        <f t="shared" si="274"/>
        <v>12512.4301</v>
      </c>
      <c r="E80" s="247">
        <f t="shared" si="274"/>
        <v>11000.416099999999</v>
      </c>
      <c r="F80" s="247">
        <f t="shared" si="274"/>
        <v>15911.390100000001</v>
      </c>
      <c r="G80" s="247">
        <f t="shared" si="274"/>
        <v>11654.404999999999</v>
      </c>
      <c r="H80" s="247">
        <f t="shared" si="274"/>
        <v>11469.59</v>
      </c>
      <c r="I80" s="262">
        <v>9967.59</v>
      </c>
      <c r="J80" s="262">
        <v>15909.856</v>
      </c>
      <c r="K80" s="335">
        <v>14532.674000000001</v>
      </c>
      <c r="L80" s="335">
        <v>11862.049000000001</v>
      </c>
      <c r="M80" s="335">
        <v>10218.9998</v>
      </c>
      <c r="N80" s="335">
        <v>15949.938</v>
      </c>
      <c r="O80" s="335">
        <v>13764.807000000001</v>
      </c>
      <c r="P80" s="335">
        <v>12115.496999999999</v>
      </c>
      <c r="Q80" s="335">
        <v>12946.123</v>
      </c>
      <c r="R80" s="335">
        <v>24333.588</v>
      </c>
      <c r="S80" s="335">
        <v>22461.63</v>
      </c>
      <c r="T80" s="335">
        <v>20776.173999999999</v>
      </c>
      <c r="U80" s="335">
        <v>15562.299000000001</v>
      </c>
      <c r="V80" s="335">
        <v>17111.277999999998</v>
      </c>
      <c r="W80" s="335">
        <v>17898.206999999999</v>
      </c>
      <c r="X80" s="335">
        <v>17377.420999999998</v>
      </c>
      <c r="Y80" s="335">
        <v>15250.156000000001</v>
      </c>
      <c r="Z80" s="335">
        <v>20608.55</v>
      </c>
      <c r="AA80" s="335">
        <v>18365.877</v>
      </c>
      <c r="AB80" s="335">
        <v>17136.282999999999</v>
      </c>
      <c r="AC80" s="335">
        <v>14671.657999999999</v>
      </c>
      <c r="AD80" s="335">
        <v>20440.066999999999</v>
      </c>
      <c r="AE80" s="335">
        <v>23800.592000000001</v>
      </c>
      <c r="AF80" s="335">
        <v>20579.327000000001</v>
      </c>
      <c r="AG80" s="335">
        <v>18726.851999999999</v>
      </c>
      <c r="AH80" s="335">
        <v>29338.026000000002</v>
      </c>
      <c r="AI80" s="335">
        <v>23561.679</v>
      </c>
      <c r="AJ80" s="335">
        <v>22519.237000000001</v>
      </c>
      <c r="AK80" s="335">
        <v>20494.102999999999</v>
      </c>
      <c r="AL80" s="335">
        <v>21185.573</v>
      </c>
      <c r="AM80" s="335">
        <v>20553.650000000001</v>
      </c>
      <c r="AN80" s="335">
        <v>18491.691999999999</v>
      </c>
      <c r="AO80" s="335">
        <v>15570.050999999999</v>
      </c>
      <c r="AP80" s="278">
        <f t="shared" ref="AP80:AS80" si="275">+AP78+AP75+AP76</f>
        <v>22583.398060718057</v>
      </c>
      <c r="AQ80" s="278">
        <f t="shared" si="275"/>
        <v>20649.317696137128</v>
      </c>
      <c r="AR80" s="278">
        <f t="shared" si="275"/>
        <v>18928.127431104142</v>
      </c>
      <c r="AS80" s="278">
        <f t="shared" si="275"/>
        <v>15763.24660916908</v>
      </c>
      <c r="AU80" s="278">
        <v>16210.378571525602</v>
      </c>
      <c r="AW80" s="247">
        <f t="shared" ref="AW80:BO80" si="276">+AW78+AW75+AW76</f>
        <v>1696.2090000000001</v>
      </c>
      <c r="AX80" s="247">
        <f t="shared" si="276"/>
        <v>3647.4679999999998</v>
      </c>
      <c r="AY80" s="247">
        <f t="shared" si="276"/>
        <v>2760.0749999999998</v>
      </c>
      <c r="AZ80" s="247">
        <f t="shared" si="276"/>
        <v>3485.1779999999999</v>
      </c>
      <c r="BA80" s="247">
        <f t="shared" si="276"/>
        <v>3753.1230000000005</v>
      </c>
      <c r="BB80" s="247">
        <f t="shared" si="276"/>
        <v>4688.3940000000002</v>
      </c>
      <c r="BC80" s="247">
        <f t="shared" si="276"/>
        <v>3201.7370000000001</v>
      </c>
      <c r="BD80" s="247">
        <f t="shared" si="276"/>
        <v>4694.1880000000001</v>
      </c>
      <c r="BE80" s="247">
        <f t="shared" si="276"/>
        <v>5038.2389999999996</v>
      </c>
      <c r="BF80" s="247">
        <f t="shared" si="276"/>
        <v>6173.8179999999993</v>
      </c>
      <c r="BG80" s="247">
        <f t="shared" si="276"/>
        <v>4301.241</v>
      </c>
      <c r="BH80" s="247">
        <f t="shared" si="276"/>
        <v>8616.1110000000008</v>
      </c>
      <c r="BI80" s="247">
        <f t="shared" si="276"/>
        <v>9232.8590000000004</v>
      </c>
      <c r="BJ80" s="247">
        <f t="shared" si="276"/>
        <v>5309.1970000000001</v>
      </c>
      <c r="BK80" s="247">
        <f t="shared" si="276"/>
        <v>5565.1119999999992</v>
      </c>
      <c r="BL80" s="247">
        <f t="shared" si="276"/>
        <v>7192.3819999999996</v>
      </c>
      <c r="BM80" s="247">
        <f t="shared" si="276"/>
        <v>8756.8279999999995</v>
      </c>
      <c r="BN80" s="247">
        <f t="shared" si="276"/>
        <v>7876.3289999999997</v>
      </c>
      <c r="BO80" s="247">
        <f t="shared" si="276"/>
        <v>8317.3230000000003</v>
      </c>
      <c r="BP80" s="247">
        <f t="shared" ref="BP80:BU80" si="277">+BP78+BP75+BP76</f>
        <v>11000.416099999999</v>
      </c>
      <c r="BQ80" s="247">
        <f t="shared" si="277"/>
        <v>9967.59</v>
      </c>
      <c r="BR80" s="247">
        <f t="shared" si="277"/>
        <v>10218.9998</v>
      </c>
      <c r="BS80" s="247">
        <f t="shared" si="277"/>
        <v>12946.123</v>
      </c>
      <c r="BT80" s="247">
        <f t="shared" si="277"/>
        <v>15562.299000000003</v>
      </c>
      <c r="BU80" s="247">
        <f t="shared" si="277"/>
        <v>15250.156000000001</v>
      </c>
      <c r="BV80" s="247">
        <f t="shared" ref="BV80:CD80" si="278">+BV78+BV75+BV76</f>
        <v>14671.657999999999</v>
      </c>
      <c r="BW80" s="247">
        <f t="shared" si="278"/>
        <v>18726.851999999999</v>
      </c>
      <c r="BX80" s="247">
        <f t="shared" si="278"/>
        <v>20494.102999999999</v>
      </c>
      <c r="BY80" s="247">
        <f>+BY78+BY75+BY76</f>
        <v>15570.050999999999</v>
      </c>
      <c r="BZ80" s="247">
        <f>+BZ78+BZ75+BZ76</f>
        <v>15763.24660916908</v>
      </c>
      <c r="CA80" s="278">
        <f t="shared" si="278"/>
        <v>16108.391992800969</v>
      </c>
      <c r="CB80" s="278">
        <f t="shared" si="278"/>
        <v>16436.706247214221</v>
      </c>
      <c r="CC80" s="278">
        <f t="shared" si="278"/>
        <v>16774.444878143469</v>
      </c>
      <c r="CD80" s="278">
        <f t="shared" si="278"/>
        <v>17121.654630248573</v>
      </c>
    </row>
    <row r="81" spans="1:82" ht="13.5" customHeight="1">
      <c r="AP81" s="304"/>
      <c r="AQ81" s="304"/>
      <c r="AR81" s="304"/>
      <c r="AS81" s="304"/>
      <c r="AU81" s="304"/>
      <c r="CA81" s="304"/>
      <c r="CB81" s="304"/>
      <c r="CC81" s="304"/>
      <c r="CD81" s="304"/>
    </row>
    <row r="82" spans="1:82" ht="13.5" customHeight="1">
      <c r="A82" s="260" t="s">
        <v>111</v>
      </c>
      <c r="B82" s="249">
        <v>20848.136999999999</v>
      </c>
      <c r="C82" s="249">
        <v>19218.030999999999</v>
      </c>
      <c r="D82" s="249">
        <v>19998.515200000002</v>
      </c>
      <c r="E82" s="249">
        <v>20762.887200000005</v>
      </c>
      <c r="F82" s="249">
        <v>19329.990200000004</v>
      </c>
      <c r="G82" s="249">
        <v>21894.094000000001</v>
      </c>
      <c r="H82" s="249">
        <v>20515.239000000001</v>
      </c>
      <c r="I82" s="249">
        <v>21630.132000000001</v>
      </c>
      <c r="J82" s="249">
        <v>20455.88</v>
      </c>
      <c r="K82" s="249">
        <v>24469.012999999999</v>
      </c>
      <c r="L82" s="249">
        <v>23404.005000000001</v>
      </c>
      <c r="M82" s="249">
        <v>24005.566999999999</v>
      </c>
      <c r="N82" s="249">
        <v>23822</v>
      </c>
      <c r="O82" s="249">
        <v>23948.913</v>
      </c>
      <c r="P82" s="249">
        <v>24579.411</v>
      </c>
      <c r="Q82" s="249">
        <v>21440.494999999999</v>
      </c>
      <c r="R82" s="249">
        <v>20174.788</v>
      </c>
      <c r="S82" s="249">
        <v>20155.379000000001</v>
      </c>
      <c r="T82" s="249">
        <v>30611.357</v>
      </c>
      <c r="U82" s="249">
        <v>30255.447</v>
      </c>
      <c r="V82" s="249">
        <v>29666.298999999999</v>
      </c>
      <c r="W82" s="249">
        <v>26101.866000000002</v>
      </c>
      <c r="X82" s="249">
        <v>25965.026999999998</v>
      </c>
      <c r="Y82" s="249">
        <v>26103.329000000002</v>
      </c>
      <c r="Z82" s="249">
        <v>25677.356</v>
      </c>
      <c r="AA82" s="249">
        <v>24131.538</v>
      </c>
      <c r="AB82" s="249">
        <v>32745.333999999999</v>
      </c>
      <c r="AC82" s="249">
        <v>32468.6</v>
      </c>
      <c r="AD82" s="249">
        <v>31898.242999999999</v>
      </c>
      <c r="AE82" s="249">
        <v>27353.562999999998</v>
      </c>
      <c r="AF82" s="249">
        <v>26879.005000000001</v>
      </c>
      <c r="AG82" s="249">
        <v>27190.460999999999</v>
      </c>
      <c r="AH82" s="249">
        <v>22872.937000000002</v>
      </c>
      <c r="AI82" s="249">
        <v>22783.425999999999</v>
      </c>
      <c r="AJ82" s="249">
        <v>22935.506000000001</v>
      </c>
      <c r="AK82" s="249">
        <v>23059.446</v>
      </c>
      <c r="AL82" s="249">
        <v>23148.931</v>
      </c>
      <c r="AM82" s="249">
        <v>21781.922999999999</v>
      </c>
      <c r="AN82" s="249">
        <v>21632.457999999999</v>
      </c>
      <c r="AO82" s="249">
        <v>21674.133999999998</v>
      </c>
      <c r="AP82" s="305">
        <f t="shared" ref="AP82:AS82" si="279">+AP142</f>
        <v>21674.133999999998</v>
      </c>
      <c r="AQ82" s="305">
        <f t="shared" si="279"/>
        <v>21674.133999999998</v>
      </c>
      <c r="AR82" s="305">
        <f t="shared" si="279"/>
        <v>21674.133999999998</v>
      </c>
      <c r="AS82" s="305">
        <f t="shared" si="279"/>
        <v>21674.133999999998</v>
      </c>
      <c r="AU82" s="305">
        <v>21632.457999999999</v>
      </c>
      <c r="AW82" s="249">
        <v>1988.191</v>
      </c>
      <c r="AX82" s="249">
        <v>1056.7449999999999</v>
      </c>
      <c r="AY82" s="249">
        <v>3480.5140000000001</v>
      </c>
      <c r="AZ82" s="249">
        <v>3393.1759999999999</v>
      </c>
      <c r="BA82" s="249">
        <v>4262.1450000000004</v>
      </c>
      <c r="BB82" s="249">
        <v>3619.2829999999999</v>
      </c>
      <c r="BC82" s="249">
        <v>5954.5770000000002</v>
      </c>
      <c r="BD82" s="249">
        <v>5262.3890000000001</v>
      </c>
      <c r="BE82" s="249">
        <v>5020.4970000000003</v>
      </c>
      <c r="BF82" s="249">
        <v>4971.7669999999998</v>
      </c>
      <c r="BG82" s="249">
        <v>7414.9639999999999</v>
      </c>
      <c r="BH82" s="249">
        <v>4646.4709999999995</v>
      </c>
      <c r="BI82" s="249">
        <v>7315.4539999999997</v>
      </c>
      <c r="BJ82" s="249">
        <v>11265.364</v>
      </c>
      <c r="BK82" s="249">
        <v>11250</v>
      </c>
      <c r="BL82" s="249">
        <v>9978.8340000000007</v>
      </c>
      <c r="BM82" s="249">
        <v>10177.844999999999</v>
      </c>
      <c r="BN82" s="249">
        <v>13086.816999999999</v>
      </c>
      <c r="BO82" s="249">
        <v>17238.2</v>
      </c>
      <c r="BP82" s="249">
        <v>20762.887200000005</v>
      </c>
      <c r="BQ82" s="249">
        <f t="shared" ref="BQ82:BW84" si="280">+SUMIFS($B82:$AK82,$B$2:$AK$2,"="&amp;BQ$2)</f>
        <v>21630.132000000001</v>
      </c>
      <c r="BR82" s="249">
        <f t="shared" si="280"/>
        <v>24005.566999999999</v>
      </c>
      <c r="BS82" s="249">
        <f t="shared" si="280"/>
        <v>21440.494999999999</v>
      </c>
      <c r="BT82" s="249">
        <f t="shared" si="280"/>
        <v>30255.447</v>
      </c>
      <c r="BU82" s="249">
        <f t="shared" si="280"/>
        <v>26103.329000000002</v>
      </c>
      <c r="BV82" s="249">
        <f t="shared" si="280"/>
        <v>32468.6</v>
      </c>
      <c r="BW82" s="249">
        <f t="shared" si="280"/>
        <v>27190.460999999999</v>
      </c>
      <c r="BX82" s="249">
        <f t="shared" ref="BX82:BX84" si="281">+SUMIFS($B82:$AO82,$B$2:$AO$2,"="&amp;BX$2)</f>
        <v>23059.446</v>
      </c>
      <c r="BY82" s="249">
        <f t="shared" ref="BY82:BZ84" si="282">+SUMIFS($B82:$AS82,$B$2:$AS$2,"="&amp;BY$2)</f>
        <v>21674.133999999998</v>
      </c>
      <c r="BZ82" s="249">
        <f t="shared" si="282"/>
        <v>21674.133999999998</v>
      </c>
      <c r="CA82" s="305">
        <f>+CA142</f>
        <v>21674.133999999998</v>
      </c>
      <c r="CB82" s="305">
        <f>+CB142</f>
        <v>21674.133999999998</v>
      </c>
      <c r="CC82" s="305">
        <f>+CC142</f>
        <v>21674.133999999998</v>
      </c>
      <c r="CD82" s="305">
        <f>+CD142</f>
        <v>21674.133999999998</v>
      </c>
    </row>
    <row r="83" spans="1:82" ht="13.5" customHeight="1">
      <c r="A83" s="260" t="s">
        <v>112</v>
      </c>
      <c r="B83" s="249">
        <v>1479.04</v>
      </c>
      <c r="C83" s="249">
        <v>1384.9590000000001</v>
      </c>
      <c r="D83" s="249">
        <v>1444.6479999999999</v>
      </c>
      <c r="E83" s="249">
        <v>1408.296</v>
      </c>
      <c r="F83" s="249">
        <v>1339.9639999999999</v>
      </c>
      <c r="G83" s="249">
        <v>1332.5989999999999</v>
      </c>
      <c r="H83" s="249">
        <v>1288.0029999999999</v>
      </c>
      <c r="I83" s="249">
        <v>1108.433</v>
      </c>
      <c r="J83" s="249">
        <v>970.69500000000005</v>
      </c>
      <c r="K83" s="249">
        <v>857.93299999999999</v>
      </c>
      <c r="L83" s="249">
        <v>727.31200000000001</v>
      </c>
      <c r="M83" s="249">
        <v>826.15800000000002</v>
      </c>
      <c r="N83" s="249">
        <v>682</v>
      </c>
      <c r="O83" s="249">
        <v>598.66099999999994</v>
      </c>
      <c r="P83" s="249">
        <v>505.47399999999999</v>
      </c>
      <c r="Q83" s="249">
        <v>391.22699999999998</v>
      </c>
      <c r="R83" s="249">
        <v>477.21499999999997</v>
      </c>
      <c r="S83" s="249">
        <v>517.029</v>
      </c>
      <c r="T83" s="249">
        <v>439.01900000000001</v>
      </c>
      <c r="U83" s="249">
        <v>19.454999999999998</v>
      </c>
      <c r="V83" s="249">
        <v>218.239</v>
      </c>
      <c r="W83" s="249">
        <v>321.54899999999998</v>
      </c>
      <c r="X83" s="249">
        <v>414.79599999999999</v>
      </c>
      <c r="Y83" s="249">
        <v>198.505</v>
      </c>
      <c r="Z83" s="249">
        <v>122.78</v>
      </c>
      <c r="AA83" s="249">
        <v>25.904</v>
      </c>
      <c r="AB83" s="249">
        <v>0</v>
      </c>
      <c r="AC83" s="249">
        <v>0</v>
      </c>
      <c r="AD83" s="249">
        <f t="shared" ref="AD83:AO83" si="283">+AC83</f>
        <v>0</v>
      </c>
      <c r="AE83" s="249">
        <f t="shared" si="283"/>
        <v>0</v>
      </c>
      <c r="AF83" s="249">
        <f t="shared" si="283"/>
        <v>0</v>
      </c>
      <c r="AG83" s="249">
        <f t="shared" si="283"/>
        <v>0</v>
      </c>
      <c r="AH83" s="249">
        <f t="shared" si="283"/>
        <v>0</v>
      </c>
      <c r="AI83" s="249">
        <f t="shared" si="283"/>
        <v>0</v>
      </c>
      <c r="AJ83" s="249">
        <f t="shared" si="283"/>
        <v>0</v>
      </c>
      <c r="AK83" s="249">
        <f t="shared" si="283"/>
        <v>0</v>
      </c>
      <c r="AL83" s="249">
        <f t="shared" si="283"/>
        <v>0</v>
      </c>
      <c r="AM83" s="249">
        <f t="shared" si="283"/>
        <v>0</v>
      </c>
      <c r="AN83" s="249">
        <f t="shared" si="283"/>
        <v>0</v>
      </c>
      <c r="AO83" s="249">
        <f t="shared" si="283"/>
        <v>0</v>
      </c>
      <c r="AP83" s="305">
        <f t="shared" ref="AP83:AP84" si="284">+AO83</f>
        <v>0</v>
      </c>
      <c r="AQ83" s="305">
        <f t="shared" ref="AQ83:AQ84" si="285">+AP83</f>
        <v>0</v>
      </c>
      <c r="AR83" s="305">
        <f t="shared" ref="AR83:AR84" si="286">+AQ83</f>
        <v>0</v>
      </c>
      <c r="AS83" s="305">
        <f t="shared" ref="AS83:AS84" si="287">+AR83</f>
        <v>0</v>
      </c>
      <c r="AU83" s="305">
        <v>0</v>
      </c>
      <c r="AW83" s="249">
        <v>734.00900000000001</v>
      </c>
      <c r="AX83" s="249">
        <v>728.06700000000001</v>
      </c>
      <c r="AY83" s="249">
        <v>826.94100000000003</v>
      </c>
      <c r="AZ83" s="249">
        <v>2539.8960000000002</v>
      </c>
      <c r="BA83" s="249">
        <v>2493.89</v>
      </c>
      <c r="BB83" s="249">
        <v>2818.4670000000001</v>
      </c>
      <c r="BC83" s="249">
        <v>3163.837</v>
      </c>
      <c r="BD83" s="249">
        <v>3001.0050000000001</v>
      </c>
      <c r="BE83" s="249">
        <v>2540.7779999999998</v>
      </c>
      <c r="BF83" s="249">
        <v>0</v>
      </c>
      <c r="BG83" s="249">
        <v>0</v>
      </c>
      <c r="BH83" s="249">
        <v>0</v>
      </c>
      <c r="BI83" s="249">
        <v>0</v>
      </c>
      <c r="BJ83" s="249">
        <v>0</v>
      </c>
      <c r="BK83" s="249">
        <v>2031.191</v>
      </c>
      <c r="BL83" s="249">
        <v>1847.104</v>
      </c>
      <c r="BM83" s="249">
        <v>1712.7470000000001</v>
      </c>
      <c r="BN83" s="249">
        <v>1712.511</v>
      </c>
      <c r="BO83" s="249">
        <v>1461.82</v>
      </c>
      <c r="BP83" s="249">
        <v>1408.296</v>
      </c>
      <c r="BQ83" s="249">
        <f t="shared" si="280"/>
        <v>1108.433</v>
      </c>
      <c r="BR83" s="249">
        <f t="shared" si="280"/>
        <v>826.15800000000002</v>
      </c>
      <c r="BS83" s="249">
        <f t="shared" si="280"/>
        <v>391.22699999999998</v>
      </c>
      <c r="BT83" s="249">
        <f t="shared" si="280"/>
        <v>19.454999999999998</v>
      </c>
      <c r="BU83" s="249">
        <f t="shared" si="280"/>
        <v>198.505</v>
      </c>
      <c r="BV83" s="249">
        <f t="shared" si="280"/>
        <v>0</v>
      </c>
      <c r="BW83" s="249">
        <f t="shared" si="280"/>
        <v>0</v>
      </c>
      <c r="BX83" s="249">
        <f t="shared" si="281"/>
        <v>0</v>
      </c>
      <c r="BY83" s="249">
        <f t="shared" si="282"/>
        <v>0</v>
      </c>
      <c r="BZ83" s="249">
        <f t="shared" si="282"/>
        <v>0</v>
      </c>
      <c r="CA83" s="305">
        <f t="shared" ref="CA83:CD84" si="288">+BZ83</f>
        <v>0</v>
      </c>
      <c r="CB83" s="305">
        <f t="shared" si="288"/>
        <v>0</v>
      </c>
      <c r="CC83" s="305">
        <f t="shared" si="288"/>
        <v>0</v>
      </c>
      <c r="CD83" s="305">
        <f t="shared" si="288"/>
        <v>0</v>
      </c>
    </row>
    <row r="84" spans="1:82" ht="13.5" customHeight="1">
      <c r="A84" s="260" t="s">
        <v>113</v>
      </c>
      <c r="B84" s="249">
        <v>210.66399999999999</v>
      </c>
      <c r="C84" s="249">
        <v>221.161</v>
      </c>
      <c r="D84" s="249">
        <v>228.697</v>
      </c>
      <c r="E84" s="249">
        <v>440.93200000000002</v>
      </c>
      <c r="F84" s="249">
        <v>442.28800000000001</v>
      </c>
      <c r="G84" s="249">
        <v>432.26600000000002</v>
      </c>
      <c r="H84" s="249">
        <v>456.19799999999998</v>
      </c>
      <c r="I84" s="249">
        <f>227.003+260.275</f>
        <v>487.27799999999996</v>
      </c>
      <c r="J84" s="264">
        <f t="shared" ref="J84:AI84" si="289">+J85-J83-J82</f>
        <v>482.84799999999814</v>
      </c>
      <c r="K84" s="264">
        <f t="shared" si="289"/>
        <v>491.24499999999898</v>
      </c>
      <c r="L84" s="264">
        <f t="shared" si="289"/>
        <v>500.87999999999738</v>
      </c>
      <c r="M84" s="264">
        <f t="shared" si="289"/>
        <v>550.99800000000323</v>
      </c>
      <c r="N84" s="264">
        <f t="shared" si="289"/>
        <v>1732.4910000000018</v>
      </c>
      <c r="O84" s="264">
        <f t="shared" si="289"/>
        <v>1689.8909999999996</v>
      </c>
      <c r="P84" s="264">
        <f t="shared" si="289"/>
        <v>1664.4080000000031</v>
      </c>
      <c r="Q84" s="264">
        <f t="shared" si="289"/>
        <v>1731.4450000000033</v>
      </c>
      <c r="R84" s="264">
        <f t="shared" si="289"/>
        <v>1980.2910000000011</v>
      </c>
      <c r="S84" s="264">
        <f t="shared" si="289"/>
        <v>1954.1890000000021</v>
      </c>
      <c r="T84" s="264">
        <f t="shared" si="289"/>
        <v>1913.1269999999968</v>
      </c>
      <c r="U84" s="264">
        <f t="shared" si="289"/>
        <v>1786.6289999999972</v>
      </c>
      <c r="V84" s="264">
        <f t="shared" si="289"/>
        <v>1769.739999999998</v>
      </c>
      <c r="W84" s="264">
        <f t="shared" si="289"/>
        <v>1727.6859999999979</v>
      </c>
      <c r="X84" s="264">
        <f t="shared" si="289"/>
        <v>1785.5310000000027</v>
      </c>
      <c r="Y84" s="264">
        <f t="shared" si="289"/>
        <v>1508.372999999996</v>
      </c>
      <c r="Z84" s="264">
        <f t="shared" si="289"/>
        <v>1484.362000000001</v>
      </c>
      <c r="AA84" s="264">
        <f t="shared" si="289"/>
        <v>1549.3349999999991</v>
      </c>
      <c r="AB84" s="264">
        <f t="shared" si="289"/>
        <v>1389.3169999999991</v>
      </c>
      <c r="AC84" s="264">
        <f t="shared" si="289"/>
        <v>1372.9120000000039</v>
      </c>
      <c r="AD84" s="264">
        <f t="shared" si="289"/>
        <v>1313.3610000000008</v>
      </c>
      <c r="AE84" s="264">
        <f t="shared" si="289"/>
        <v>1255.4260000000031</v>
      </c>
      <c r="AF84" s="264">
        <f t="shared" si="289"/>
        <v>1288.482</v>
      </c>
      <c r="AG84" s="264">
        <f t="shared" si="289"/>
        <v>1080.4540000000015</v>
      </c>
      <c r="AH84" s="264">
        <f t="shared" si="289"/>
        <v>1033.9299999999967</v>
      </c>
      <c r="AI84" s="264">
        <f t="shared" si="289"/>
        <v>1033.2410000000018</v>
      </c>
      <c r="AJ84" s="264">
        <f t="shared" ref="AJ84:AO84" si="290">+AJ85-AJ83-AJ82</f>
        <v>997.38999999999942</v>
      </c>
      <c r="AK84" s="264">
        <f t="shared" si="290"/>
        <v>1148.982</v>
      </c>
      <c r="AL84" s="264">
        <f t="shared" si="290"/>
        <v>1104.025999999998</v>
      </c>
      <c r="AM84" s="264">
        <f t="shared" si="290"/>
        <v>1261.8450000000012</v>
      </c>
      <c r="AN84" s="264">
        <f t="shared" si="290"/>
        <v>1199.5110000000022</v>
      </c>
      <c r="AO84" s="264">
        <f t="shared" si="290"/>
        <v>1152.6210000000028</v>
      </c>
      <c r="AP84" s="302">
        <f t="shared" si="284"/>
        <v>1152.6210000000028</v>
      </c>
      <c r="AQ84" s="302">
        <f t="shared" si="285"/>
        <v>1152.6210000000028</v>
      </c>
      <c r="AR84" s="302">
        <f t="shared" si="286"/>
        <v>1152.6210000000028</v>
      </c>
      <c r="AS84" s="302">
        <f t="shared" si="287"/>
        <v>1152.6210000000028</v>
      </c>
      <c r="AU84" s="302">
        <v>1199.5110000000022</v>
      </c>
      <c r="AW84" s="249">
        <v>0</v>
      </c>
      <c r="AX84" s="249">
        <v>0</v>
      </c>
      <c r="AY84" s="249">
        <v>0</v>
      </c>
      <c r="AZ84" s="249">
        <v>0</v>
      </c>
      <c r="BA84" s="249">
        <v>0</v>
      </c>
      <c r="BB84" s="249">
        <v>0</v>
      </c>
      <c r="BC84" s="249">
        <v>0</v>
      </c>
      <c r="BD84" s="249">
        <v>0</v>
      </c>
      <c r="BE84" s="249">
        <v>427.41699999999997</v>
      </c>
      <c r="BF84" s="249">
        <v>1917.104</v>
      </c>
      <c r="BG84" s="249">
        <v>2320.4250000000002</v>
      </c>
      <c r="BH84" s="249">
        <v>2283.8910000000001</v>
      </c>
      <c r="BI84" s="249">
        <v>1986.16</v>
      </c>
      <c r="BJ84" s="249">
        <v>2099.6390000000001</v>
      </c>
      <c r="BK84" s="249">
        <v>375.43099999999998</v>
      </c>
      <c r="BL84" s="249">
        <v>392.041</v>
      </c>
      <c r="BM84" s="249">
        <v>305.10399999999998</v>
      </c>
      <c r="BN84" s="249">
        <v>323.16500000000002</v>
      </c>
      <c r="BO84" s="249">
        <v>292.14800000000002</v>
      </c>
      <c r="BP84" s="249">
        <v>440.93200000000002</v>
      </c>
      <c r="BQ84" s="249">
        <f t="shared" si="280"/>
        <v>487.27799999999996</v>
      </c>
      <c r="BR84" s="249">
        <f t="shared" si="280"/>
        <v>550.99800000000323</v>
      </c>
      <c r="BS84" s="249">
        <f t="shared" si="280"/>
        <v>1731.4450000000033</v>
      </c>
      <c r="BT84" s="249">
        <f t="shared" si="280"/>
        <v>1786.6289999999972</v>
      </c>
      <c r="BU84" s="249">
        <f t="shared" si="280"/>
        <v>1508.372999999996</v>
      </c>
      <c r="BV84" s="249">
        <f t="shared" si="280"/>
        <v>1372.9120000000039</v>
      </c>
      <c r="BW84" s="249">
        <f t="shared" si="280"/>
        <v>1080.4540000000015</v>
      </c>
      <c r="BX84" s="249">
        <f t="shared" si="281"/>
        <v>1148.982</v>
      </c>
      <c r="BY84" s="249">
        <f t="shared" si="282"/>
        <v>1152.6210000000028</v>
      </c>
      <c r="BZ84" s="249">
        <f t="shared" si="282"/>
        <v>1152.6210000000028</v>
      </c>
      <c r="CA84" s="302">
        <f t="shared" si="288"/>
        <v>1152.6210000000028</v>
      </c>
      <c r="CB84" s="302">
        <f t="shared" si="288"/>
        <v>1152.6210000000028</v>
      </c>
      <c r="CC84" s="302">
        <f t="shared" si="288"/>
        <v>1152.6210000000028</v>
      </c>
      <c r="CD84" s="302">
        <f t="shared" si="288"/>
        <v>1152.6210000000028</v>
      </c>
    </row>
    <row r="85" spans="1:82" s="319" customFormat="1" ht="13.5" customHeight="1">
      <c r="A85" s="319" t="s">
        <v>114</v>
      </c>
      <c r="B85" s="247">
        <f t="shared" ref="B85:I85" si="291">+B84+B82+B83</f>
        <v>22537.841</v>
      </c>
      <c r="C85" s="247">
        <f t="shared" si="291"/>
        <v>20824.150999999998</v>
      </c>
      <c r="D85" s="247">
        <f t="shared" si="291"/>
        <v>21671.860200000003</v>
      </c>
      <c r="E85" s="247">
        <f t="shared" si="291"/>
        <v>22612.115200000004</v>
      </c>
      <c r="F85" s="247">
        <f t="shared" si="291"/>
        <v>21112.242200000004</v>
      </c>
      <c r="G85" s="247">
        <f t="shared" si="291"/>
        <v>23658.958999999999</v>
      </c>
      <c r="H85" s="247">
        <f t="shared" si="291"/>
        <v>22259.440000000002</v>
      </c>
      <c r="I85" s="247">
        <f t="shared" si="291"/>
        <v>23225.843000000001</v>
      </c>
      <c r="J85" s="336">
        <v>21909.422999999999</v>
      </c>
      <c r="K85" s="335">
        <v>25818.190999999999</v>
      </c>
      <c r="L85" s="335">
        <v>24632.197</v>
      </c>
      <c r="M85" s="335">
        <v>25382.723000000002</v>
      </c>
      <c r="N85" s="335">
        <v>26236.491000000002</v>
      </c>
      <c r="O85" s="335">
        <v>26237.465</v>
      </c>
      <c r="P85" s="335">
        <v>26749.293000000001</v>
      </c>
      <c r="Q85" s="335">
        <v>23563.167000000001</v>
      </c>
      <c r="R85" s="335">
        <v>22632.294000000002</v>
      </c>
      <c r="S85" s="335">
        <v>22626.597000000002</v>
      </c>
      <c r="T85" s="335">
        <v>32963.502999999997</v>
      </c>
      <c r="U85" s="335">
        <v>32061.530999999999</v>
      </c>
      <c r="V85" s="335">
        <v>31654.277999999998</v>
      </c>
      <c r="W85" s="335">
        <v>28151.100999999999</v>
      </c>
      <c r="X85" s="335">
        <v>28165.353999999999</v>
      </c>
      <c r="Y85" s="335">
        <v>27810.206999999999</v>
      </c>
      <c r="Z85" s="335">
        <v>27284.498</v>
      </c>
      <c r="AA85" s="335">
        <v>25706.776999999998</v>
      </c>
      <c r="AB85" s="335">
        <v>34134.650999999998</v>
      </c>
      <c r="AC85" s="335">
        <v>33841.512000000002</v>
      </c>
      <c r="AD85" s="335">
        <v>33211.603999999999</v>
      </c>
      <c r="AE85" s="335">
        <v>28608.989000000001</v>
      </c>
      <c r="AF85" s="335">
        <v>28167.487000000001</v>
      </c>
      <c r="AG85" s="335">
        <v>28270.915000000001</v>
      </c>
      <c r="AH85" s="335">
        <v>23906.866999999998</v>
      </c>
      <c r="AI85" s="335">
        <v>23816.667000000001</v>
      </c>
      <c r="AJ85" s="335">
        <v>23932.896000000001</v>
      </c>
      <c r="AK85" s="335">
        <v>24208.428</v>
      </c>
      <c r="AL85" s="335">
        <v>24252.956999999999</v>
      </c>
      <c r="AM85" s="335">
        <v>23043.768</v>
      </c>
      <c r="AN85" s="335">
        <v>22831.969000000001</v>
      </c>
      <c r="AO85" s="335">
        <v>22826.755000000001</v>
      </c>
      <c r="AP85" s="278">
        <f t="shared" ref="AP85:AS85" si="292">+AP84+AP82+AP83</f>
        <v>22826.755000000001</v>
      </c>
      <c r="AQ85" s="278">
        <f t="shared" si="292"/>
        <v>22826.755000000001</v>
      </c>
      <c r="AR85" s="278">
        <f t="shared" si="292"/>
        <v>22826.755000000001</v>
      </c>
      <c r="AS85" s="278">
        <f t="shared" si="292"/>
        <v>22826.755000000001</v>
      </c>
      <c r="AU85" s="278">
        <v>22831.969000000001</v>
      </c>
      <c r="AW85" s="247">
        <f t="shared" ref="AW85:BO85" si="293">+AW84+AW82+AW83</f>
        <v>2722.2</v>
      </c>
      <c r="AX85" s="247">
        <f t="shared" si="293"/>
        <v>1784.8119999999999</v>
      </c>
      <c r="AY85" s="247">
        <f t="shared" si="293"/>
        <v>4307.4549999999999</v>
      </c>
      <c r="AZ85" s="247">
        <f t="shared" si="293"/>
        <v>5933.0720000000001</v>
      </c>
      <c r="BA85" s="247">
        <f t="shared" si="293"/>
        <v>6756.0349999999999</v>
      </c>
      <c r="BB85" s="247">
        <f t="shared" si="293"/>
        <v>6437.75</v>
      </c>
      <c r="BC85" s="247">
        <f t="shared" si="293"/>
        <v>9118.4140000000007</v>
      </c>
      <c r="BD85" s="247">
        <f t="shared" si="293"/>
        <v>8263.3940000000002</v>
      </c>
      <c r="BE85" s="247">
        <f t="shared" si="293"/>
        <v>7988.6920000000009</v>
      </c>
      <c r="BF85" s="247">
        <f t="shared" si="293"/>
        <v>6888.8710000000001</v>
      </c>
      <c r="BG85" s="247">
        <f t="shared" si="293"/>
        <v>9735.3889999999992</v>
      </c>
      <c r="BH85" s="247">
        <f t="shared" si="293"/>
        <v>6930.3619999999992</v>
      </c>
      <c r="BI85" s="247">
        <f t="shared" si="293"/>
        <v>9301.6139999999996</v>
      </c>
      <c r="BJ85" s="247">
        <f t="shared" si="293"/>
        <v>13365.003000000001</v>
      </c>
      <c r="BK85" s="247">
        <f t="shared" si="293"/>
        <v>13656.622000000001</v>
      </c>
      <c r="BL85" s="247">
        <f t="shared" si="293"/>
        <v>12217.978999999999</v>
      </c>
      <c r="BM85" s="247">
        <f t="shared" si="293"/>
        <v>12195.695999999998</v>
      </c>
      <c r="BN85" s="247">
        <f t="shared" si="293"/>
        <v>15122.493</v>
      </c>
      <c r="BO85" s="247">
        <f t="shared" si="293"/>
        <v>18992.168000000001</v>
      </c>
      <c r="BP85" s="247">
        <f t="shared" ref="BP85:CD85" si="294">+BP84+BP82+BP83</f>
        <v>22612.115200000004</v>
      </c>
      <c r="BQ85" s="247">
        <f t="shared" si="294"/>
        <v>23225.843000000001</v>
      </c>
      <c r="BR85" s="247">
        <f t="shared" si="294"/>
        <v>25382.723000000002</v>
      </c>
      <c r="BS85" s="247">
        <f t="shared" si="294"/>
        <v>23563.167000000001</v>
      </c>
      <c r="BT85" s="247">
        <f t="shared" si="294"/>
        <v>32061.530999999999</v>
      </c>
      <c r="BU85" s="247">
        <f t="shared" si="294"/>
        <v>27810.206999999999</v>
      </c>
      <c r="BV85" s="247">
        <f t="shared" si="294"/>
        <v>33841.512000000002</v>
      </c>
      <c r="BW85" s="247">
        <f t="shared" si="294"/>
        <v>28270.915000000001</v>
      </c>
      <c r="BX85" s="247">
        <f t="shared" si="294"/>
        <v>24208.428</v>
      </c>
      <c r="BY85" s="247">
        <f>+BY84+BY82+BY83</f>
        <v>22826.755000000001</v>
      </c>
      <c r="BZ85" s="247">
        <f>+BZ84+BZ82+BZ83</f>
        <v>22826.755000000001</v>
      </c>
      <c r="CA85" s="278">
        <f t="shared" si="294"/>
        <v>22826.755000000001</v>
      </c>
      <c r="CB85" s="278">
        <f t="shared" si="294"/>
        <v>22826.755000000001</v>
      </c>
      <c r="CC85" s="278">
        <f t="shared" si="294"/>
        <v>22826.755000000001</v>
      </c>
      <c r="CD85" s="278">
        <f t="shared" si="294"/>
        <v>22826.755000000001</v>
      </c>
    </row>
    <row r="86" spans="1:82" s="319" customFormat="1" ht="13.5" customHeight="1">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c r="AA86" s="247"/>
      <c r="AB86" s="247"/>
      <c r="AC86" s="247"/>
      <c r="AD86" s="247"/>
      <c r="AE86" s="247"/>
      <c r="AF86" s="247"/>
      <c r="AG86" s="247"/>
      <c r="AH86" s="247"/>
      <c r="AI86" s="247"/>
      <c r="AJ86" s="247"/>
      <c r="AK86" s="247"/>
      <c r="AL86" s="247"/>
      <c r="AM86" s="247"/>
      <c r="AN86" s="247"/>
      <c r="AO86" s="247"/>
      <c r="AP86" s="278"/>
      <c r="AQ86" s="278"/>
      <c r="AR86" s="278"/>
      <c r="AS86" s="278"/>
      <c r="AU86" s="278"/>
      <c r="AW86" s="247"/>
      <c r="AX86" s="247"/>
      <c r="AY86" s="247"/>
      <c r="AZ86" s="247"/>
      <c r="BA86" s="247"/>
      <c r="BB86" s="247"/>
      <c r="BC86" s="247"/>
      <c r="BD86" s="247"/>
      <c r="BE86" s="247"/>
      <c r="BF86" s="247"/>
      <c r="BG86" s="247"/>
      <c r="BH86" s="247"/>
      <c r="BI86" s="247"/>
      <c r="BJ86" s="247"/>
      <c r="BK86" s="247"/>
      <c r="BL86" s="247"/>
      <c r="BM86" s="247"/>
      <c r="BN86" s="247"/>
      <c r="BO86" s="247"/>
      <c r="BP86" s="247"/>
      <c r="BQ86" s="247"/>
      <c r="BR86" s="247"/>
      <c r="BS86" s="247"/>
      <c r="BT86" s="247"/>
      <c r="BU86" s="247"/>
      <c r="BV86" s="247"/>
      <c r="BW86" s="247"/>
      <c r="BX86" s="247"/>
      <c r="BY86" s="247"/>
      <c r="BZ86" s="247"/>
      <c r="CA86" s="278"/>
      <c r="CB86" s="278"/>
      <c r="CC86" s="278"/>
      <c r="CD86" s="278"/>
    </row>
    <row r="87" spans="1:82" s="319" customFormat="1" ht="13.5" customHeight="1">
      <c r="A87" s="319" t="s">
        <v>115</v>
      </c>
      <c r="B87" s="265">
        <v>0</v>
      </c>
      <c r="C87" s="265">
        <v>0</v>
      </c>
      <c r="D87" s="265">
        <v>1E-4</v>
      </c>
      <c r="E87" s="265">
        <v>86.822000000000003</v>
      </c>
      <c r="F87" s="265">
        <v>76.504000000000005</v>
      </c>
      <c r="G87" s="265">
        <v>81.762</v>
      </c>
      <c r="H87" s="265">
        <v>80.543000000000006</v>
      </c>
      <c r="I87" s="265">
        <v>56.689</v>
      </c>
      <c r="J87" s="265">
        <v>53.337000000000003</v>
      </c>
      <c r="K87" s="265">
        <v>51.636000000000003</v>
      </c>
      <c r="L87" s="265">
        <v>53.127000000000002</v>
      </c>
      <c r="M87" s="265">
        <v>42.709000000000003</v>
      </c>
      <c r="N87" s="338">
        <v>-112.58799999999999</v>
      </c>
      <c r="O87" s="265">
        <v>-107.914</v>
      </c>
      <c r="P87" s="265">
        <v>-110.31699999999999</v>
      </c>
      <c r="Q87" s="265">
        <v>-111.62</v>
      </c>
      <c r="R87" s="265">
        <v>-119.74</v>
      </c>
      <c r="S87" s="265">
        <v>-49.843000000000004</v>
      </c>
      <c r="T87" s="265">
        <v>-85.525000000000006</v>
      </c>
      <c r="U87" s="265">
        <v>-116.404</v>
      </c>
      <c r="V87" s="265">
        <v>-135.048</v>
      </c>
      <c r="W87" s="265">
        <v>-141.19399999999999</v>
      </c>
      <c r="X87" s="265">
        <v>-145.97999999999999</v>
      </c>
      <c r="Y87" s="265">
        <v>0</v>
      </c>
      <c r="Z87" s="265">
        <v>0</v>
      </c>
      <c r="AA87" s="265">
        <v>0</v>
      </c>
      <c r="AB87" s="265">
        <v>0</v>
      </c>
      <c r="AC87" s="265">
        <v>0</v>
      </c>
      <c r="AD87" s="265">
        <v>0</v>
      </c>
      <c r="AE87" s="265">
        <v>0</v>
      </c>
      <c r="AF87" s="265">
        <v>0</v>
      </c>
      <c r="AG87" s="265">
        <v>0</v>
      </c>
      <c r="AH87" s="265">
        <v>0</v>
      </c>
      <c r="AI87" s="265">
        <v>0</v>
      </c>
      <c r="AJ87" s="265">
        <v>0</v>
      </c>
      <c r="AK87" s="265">
        <v>0</v>
      </c>
      <c r="AL87" s="265">
        <v>0</v>
      </c>
      <c r="AM87" s="265">
        <f>+AL87</f>
        <v>0</v>
      </c>
      <c r="AN87" s="265">
        <f>+AM87</f>
        <v>0</v>
      </c>
      <c r="AO87" s="265">
        <f>+AN87</f>
        <v>0</v>
      </c>
      <c r="AP87" s="278">
        <f t="shared" ref="AP87:AS87" si="295">+AO87</f>
        <v>0</v>
      </c>
      <c r="AQ87" s="278">
        <f t="shared" si="295"/>
        <v>0</v>
      </c>
      <c r="AR87" s="278">
        <f t="shared" si="295"/>
        <v>0</v>
      </c>
      <c r="AS87" s="278">
        <f t="shared" si="295"/>
        <v>0</v>
      </c>
      <c r="AU87" s="278">
        <v>0</v>
      </c>
      <c r="AW87" s="265">
        <v>0</v>
      </c>
      <c r="AX87" s="265">
        <v>0</v>
      </c>
      <c r="AY87" s="265">
        <v>0</v>
      </c>
      <c r="AZ87" s="265">
        <v>0</v>
      </c>
      <c r="BA87" s="265">
        <v>0</v>
      </c>
      <c r="BB87" s="265">
        <v>0</v>
      </c>
      <c r="BC87" s="265">
        <v>0</v>
      </c>
      <c r="BD87" s="265">
        <v>0</v>
      </c>
      <c r="BE87" s="265">
        <v>0</v>
      </c>
      <c r="BF87" s="265">
        <v>0</v>
      </c>
      <c r="BG87" s="265">
        <v>0</v>
      </c>
      <c r="BH87" s="265">
        <v>0</v>
      </c>
      <c r="BI87" s="265">
        <v>0</v>
      </c>
      <c r="BJ87" s="265">
        <v>0</v>
      </c>
      <c r="BK87" s="265">
        <v>0</v>
      </c>
      <c r="BL87" s="265">
        <v>0</v>
      </c>
      <c r="BM87" s="265">
        <v>0</v>
      </c>
      <c r="BN87" s="265">
        <v>0</v>
      </c>
      <c r="BO87" s="265">
        <v>0</v>
      </c>
      <c r="BP87" s="265">
        <v>86.822000000000003</v>
      </c>
      <c r="BQ87" s="265">
        <f t="shared" ref="BQ87:BW88" si="296">+SUMIFS($B87:$AK87,$B$2:$AK$2,"="&amp;BQ$2)</f>
        <v>56.689</v>
      </c>
      <c r="BR87" s="265">
        <f t="shared" si="296"/>
        <v>42.709000000000003</v>
      </c>
      <c r="BS87" s="265">
        <f t="shared" si="296"/>
        <v>-111.62</v>
      </c>
      <c r="BT87" s="265">
        <f t="shared" si="296"/>
        <v>-116.404</v>
      </c>
      <c r="BU87" s="265">
        <f t="shared" si="296"/>
        <v>0</v>
      </c>
      <c r="BV87" s="265">
        <f t="shared" si="296"/>
        <v>0</v>
      </c>
      <c r="BW87" s="265">
        <f t="shared" si="296"/>
        <v>0</v>
      </c>
      <c r="BX87" s="265">
        <f>+SUMIFS($B87:$AO87,$B$2:$AO$2,"="&amp;BX$2)</f>
        <v>0</v>
      </c>
      <c r="BY87" s="265">
        <f>+SUMIFS($B87:$AS87,$B$2:$AS$2,"="&amp;BY$2)</f>
        <v>0</v>
      </c>
      <c r="BZ87" s="265">
        <f>+SUMIFS($B87:$AS87,$B$2:$AS$2,"="&amp;BZ$2)</f>
        <v>0</v>
      </c>
      <c r="CA87" s="278">
        <f>+BZ87</f>
        <v>0</v>
      </c>
      <c r="CB87" s="278">
        <f>+CA87</f>
        <v>0</v>
      </c>
      <c r="CC87" s="278">
        <f>+CB87</f>
        <v>0</v>
      </c>
      <c r="CD87" s="278">
        <f>+CC87</f>
        <v>0</v>
      </c>
    </row>
    <row r="88" spans="1:82" s="319" customFormat="1" ht="13.5" customHeight="1">
      <c r="A88" s="319" t="s">
        <v>116</v>
      </c>
      <c r="B88" s="265">
        <v>3017.6390000000001</v>
      </c>
      <c r="C88" s="265">
        <v>4386.5600000000004</v>
      </c>
      <c r="D88" s="265">
        <v>5735.2509</v>
      </c>
      <c r="E88" s="265">
        <v>6999.2730000000001</v>
      </c>
      <c r="F88" s="265">
        <v>2955.55</v>
      </c>
      <c r="G88" s="265">
        <v>4041.2280000000001</v>
      </c>
      <c r="H88" s="265">
        <v>4815.3649999999998</v>
      </c>
      <c r="I88" s="265">
        <v>6090.1980000000003</v>
      </c>
      <c r="J88" s="265">
        <v>2125.8670000000002</v>
      </c>
      <c r="K88" s="265">
        <f>3274.274-51.636</f>
        <v>3222.6379999999999</v>
      </c>
      <c r="L88" s="265">
        <v>4079.4960000000001</v>
      </c>
      <c r="M88" s="265">
        <v>5560.7820000000002</v>
      </c>
      <c r="N88" s="265">
        <v>1652.011</v>
      </c>
      <c r="O88" s="265">
        <f>2833.843+107.914</f>
        <v>2941.7570000000001</v>
      </c>
      <c r="P88" s="265">
        <v>3993.4409999999998</v>
      </c>
      <c r="Q88" s="265">
        <v>5284.5649999999996</v>
      </c>
      <c r="R88" s="265">
        <v>2129.3580000000002</v>
      </c>
      <c r="S88" s="265">
        <v>3527.8850000000002</v>
      </c>
      <c r="T88" s="265">
        <v>5171.9719999999998</v>
      </c>
      <c r="U88" s="265">
        <v>5809.2250000000004</v>
      </c>
      <c r="V88" s="265">
        <v>2634.9830000000002</v>
      </c>
      <c r="W88" s="265">
        <v>4019.078</v>
      </c>
      <c r="X88" s="265">
        <v>5089.5259999999998</v>
      </c>
      <c r="Y88" s="265">
        <v>5723.6289999999999</v>
      </c>
      <c r="Z88" s="265">
        <v>1584.9069999999999</v>
      </c>
      <c r="AA88" s="265">
        <v>3008.5010000000002</v>
      </c>
      <c r="AB88" s="265">
        <v>3696.518</v>
      </c>
      <c r="AC88" s="265">
        <v>5027.45</v>
      </c>
      <c r="AD88" s="265">
        <v>1404.345</v>
      </c>
      <c r="AE88" s="265">
        <v>3182.2460000000001</v>
      </c>
      <c r="AF88" s="265">
        <v>5171.2709999999997</v>
      </c>
      <c r="AG88" s="265">
        <v>6921.1570000000002</v>
      </c>
      <c r="AH88" s="265">
        <v>3192.2359999999999</v>
      </c>
      <c r="AI88" s="265">
        <v>5513.6989999999996</v>
      </c>
      <c r="AJ88" s="265">
        <v>6509.7629999999999</v>
      </c>
      <c r="AK88" s="265">
        <v>7406.9160000000002</v>
      </c>
      <c r="AL88" s="265">
        <v>2681.4920000000002</v>
      </c>
      <c r="AM88" s="265">
        <v>4180.5029999999997</v>
      </c>
      <c r="AN88" s="265">
        <v>5311.81</v>
      </c>
      <c r="AO88" s="265">
        <v>7236.35</v>
      </c>
      <c r="AP88" s="419">
        <f t="shared" ref="AP88:AS88" si="297">+AO88+AP27+AP113</f>
        <v>9210.4304612396772</v>
      </c>
      <c r="AQ88" s="419">
        <f t="shared" si="297"/>
        <v>9661.0965025356472</v>
      </c>
      <c r="AR88" s="419">
        <f t="shared" si="297"/>
        <v>9824.1238890305231</v>
      </c>
      <c r="AS88" s="419">
        <f t="shared" si="297"/>
        <v>8578.6715323319222</v>
      </c>
      <c r="AT88" s="247"/>
      <c r="AU88" s="278">
        <v>4113.7956187342479</v>
      </c>
      <c r="AV88" s="247"/>
      <c r="AW88" s="265">
        <v>10758.951999999999</v>
      </c>
      <c r="AX88" s="265">
        <v>12187.227999999999</v>
      </c>
      <c r="AY88" s="265">
        <v>12749.901</v>
      </c>
      <c r="AZ88" s="265">
        <v>11353.826999999999</v>
      </c>
      <c r="BA88" s="265">
        <v>11552.597</v>
      </c>
      <c r="BB88" s="265">
        <v>11747.66</v>
      </c>
      <c r="BC88" s="265">
        <v>11999.47</v>
      </c>
      <c r="BD88" s="265">
        <v>12339.847</v>
      </c>
      <c r="BE88" s="265">
        <v>11947.154</v>
      </c>
      <c r="BF88" s="265">
        <v>9373.5259999999998</v>
      </c>
      <c r="BG88" s="265">
        <v>9375.3819999999996</v>
      </c>
      <c r="BH88" s="265">
        <v>8702.4940000000006</v>
      </c>
      <c r="BI88" s="265">
        <v>8634.0570000000007</v>
      </c>
      <c r="BJ88" s="265">
        <v>8266.9979999999996</v>
      </c>
      <c r="BK88" s="265">
        <v>8679.4719999999998</v>
      </c>
      <c r="BL88" s="265">
        <v>8626.06</v>
      </c>
      <c r="BM88" s="265">
        <v>8587.3150000000005</v>
      </c>
      <c r="BN88" s="265">
        <v>6933.6220000000003</v>
      </c>
      <c r="BO88" s="265">
        <v>6737.5379999999996</v>
      </c>
      <c r="BP88" s="265">
        <v>6999.2730000000001</v>
      </c>
      <c r="BQ88" s="265">
        <f t="shared" si="296"/>
        <v>6090.1980000000003</v>
      </c>
      <c r="BR88" s="265">
        <f t="shared" si="296"/>
        <v>5560.7820000000002</v>
      </c>
      <c r="BS88" s="265">
        <f t="shared" si="296"/>
        <v>5284.5649999999996</v>
      </c>
      <c r="BT88" s="265">
        <f t="shared" si="296"/>
        <v>5809.2250000000004</v>
      </c>
      <c r="BU88" s="265">
        <f t="shared" si="296"/>
        <v>5723.6289999999999</v>
      </c>
      <c r="BV88" s="265">
        <f t="shared" si="296"/>
        <v>5027.45</v>
      </c>
      <c r="BW88" s="265">
        <f t="shared" si="296"/>
        <v>6921.1570000000002</v>
      </c>
      <c r="BX88" s="265">
        <f>+SUMIFS($B88:$AO88,$B$2:$AO$2,"="&amp;BX$2)</f>
        <v>7406.9160000000002</v>
      </c>
      <c r="BY88" s="265">
        <f>+SUMIFS($B88:$AS88,$B$2:$AS$2,"="&amp;BY$2)</f>
        <v>7236.35</v>
      </c>
      <c r="BZ88" s="265">
        <f>+SUMIFS($B88:$AS88,$B$2:$AS$2,"="&amp;BZ$2)</f>
        <v>8578.6715323319222</v>
      </c>
      <c r="CA88" s="278">
        <f>+BZ88+CA27+CA113</f>
        <v>10213.822277168661</v>
      </c>
      <c r="CB88" s="278">
        <f>+CA88+CB27+CB113</f>
        <v>11868.258657899421</v>
      </c>
      <c r="CC88" s="278">
        <f>+CB88+CC27+CC113</f>
        <v>13524.520363336056</v>
      </c>
      <c r="CD88" s="278">
        <f>+CC88+CD27+CD113</f>
        <v>15243.12926904202</v>
      </c>
    </row>
    <row r="89" spans="1:82" s="319" customFormat="1" ht="13.5" customHeight="1">
      <c r="B89" s="265"/>
      <c r="C89" s="265"/>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c r="AD89" s="265"/>
      <c r="AE89" s="265"/>
      <c r="AF89" s="265"/>
      <c r="AG89" s="265"/>
      <c r="AH89" s="265"/>
      <c r="AI89" s="265"/>
      <c r="AJ89" s="265"/>
      <c r="AK89" s="265"/>
      <c r="AL89" s="265"/>
      <c r="AM89" s="265"/>
      <c r="AN89" s="265"/>
      <c r="AO89" s="265"/>
      <c r="AP89" s="278"/>
      <c r="AQ89" s="278"/>
      <c r="AR89" s="278"/>
      <c r="AS89" s="278"/>
      <c r="AT89" s="247"/>
      <c r="AU89" s="278"/>
      <c r="AV89" s="247"/>
      <c r="AW89" s="265"/>
      <c r="AX89" s="265"/>
      <c r="AY89" s="265"/>
      <c r="AZ89" s="265"/>
      <c r="BA89" s="265"/>
      <c r="BB89" s="265"/>
      <c r="BC89" s="265"/>
      <c r="BD89" s="265"/>
      <c r="BE89" s="265"/>
      <c r="BF89" s="265"/>
      <c r="BG89" s="265"/>
      <c r="BH89" s="265"/>
      <c r="BI89" s="265"/>
      <c r="BJ89" s="265"/>
      <c r="BK89" s="265"/>
      <c r="BL89" s="265"/>
      <c r="BM89" s="265"/>
      <c r="BN89" s="265"/>
      <c r="BO89" s="265"/>
      <c r="BP89" s="265"/>
      <c r="BQ89" s="265"/>
      <c r="BR89" s="265"/>
      <c r="BS89" s="265"/>
      <c r="BT89" s="265"/>
      <c r="BU89" s="265"/>
      <c r="BV89" s="265"/>
      <c r="BW89" s="265"/>
      <c r="BX89" s="265"/>
      <c r="BY89" s="265"/>
      <c r="BZ89" s="265"/>
      <c r="CA89" s="278"/>
      <c r="CB89" s="278"/>
      <c r="CC89" s="278"/>
      <c r="CD89" s="278"/>
    </row>
    <row r="90" spans="1:82" s="319" customFormat="1" ht="13.5" customHeight="1">
      <c r="A90" s="319" t="s">
        <v>117</v>
      </c>
      <c r="B90" s="247">
        <f t="shared" ref="B90:AI90" si="298">+B85+B80+B88+B87</f>
        <v>38009.692000000003</v>
      </c>
      <c r="C90" s="247">
        <f t="shared" si="298"/>
        <v>38768.928999999996</v>
      </c>
      <c r="D90" s="247">
        <f t="shared" si="298"/>
        <v>39919.541299999997</v>
      </c>
      <c r="E90" s="247">
        <f t="shared" si="298"/>
        <v>40698.626300000004</v>
      </c>
      <c r="F90" s="247">
        <f t="shared" si="298"/>
        <v>40055.686300000008</v>
      </c>
      <c r="G90" s="247">
        <f t="shared" si="298"/>
        <v>39436.354000000007</v>
      </c>
      <c r="H90" s="247">
        <f t="shared" si="298"/>
        <v>38624.937999999995</v>
      </c>
      <c r="I90" s="247">
        <f t="shared" si="298"/>
        <v>39340.320000000007</v>
      </c>
      <c r="J90" s="247">
        <f t="shared" si="298"/>
        <v>39998.482999999993</v>
      </c>
      <c r="K90" s="247">
        <f t="shared" si="298"/>
        <v>43625.138999999996</v>
      </c>
      <c r="L90" s="247">
        <f t="shared" si="298"/>
        <v>40626.868999999999</v>
      </c>
      <c r="M90" s="247">
        <f t="shared" si="298"/>
        <v>41205.213800000005</v>
      </c>
      <c r="N90" s="247">
        <f t="shared" si="298"/>
        <v>43725.851999999999</v>
      </c>
      <c r="O90" s="247">
        <f t="shared" si="298"/>
        <v>42836.114999999998</v>
      </c>
      <c r="P90" s="247">
        <f t="shared" si="298"/>
        <v>42747.913999999997</v>
      </c>
      <c r="Q90" s="247">
        <f t="shared" si="298"/>
        <v>41682.235000000001</v>
      </c>
      <c r="R90" s="247">
        <f t="shared" si="298"/>
        <v>48975.5</v>
      </c>
      <c r="S90" s="247">
        <f t="shared" si="298"/>
        <v>48566.269</v>
      </c>
      <c r="T90" s="247">
        <f t="shared" si="298"/>
        <v>58826.123999999996</v>
      </c>
      <c r="U90" s="247">
        <f t="shared" si="298"/>
        <v>53316.650999999998</v>
      </c>
      <c r="V90" s="247">
        <f t="shared" si="298"/>
        <v>51265.490999999995</v>
      </c>
      <c r="W90" s="247">
        <f t="shared" si="298"/>
        <v>49927.191999999995</v>
      </c>
      <c r="X90" s="247">
        <f t="shared" si="298"/>
        <v>50486.320999999989</v>
      </c>
      <c r="Y90" s="247">
        <f t="shared" si="298"/>
        <v>48783.991999999998</v>
      </c>
      <c r="Z90" s="247">
        <f t="shared" si="298"/>
        <v>49477.954999999994</v>
      </c>
      <c r="AA90" s="247">
        <f t="shared" si="298"/>
        <v>47081.154999999999</v>
      </c>
      <c r="AB90" s="247">
        <f t="shared" si="298"/>
        <v>54967.45199999999</v>
      </c>
      <c r="AC90" s="247">
        <f t="shared" si="298"/>
        <v>53540.619999999995</v>
      </c>
      <c r="AD90" s="247">
        <f t="shared" si="298"/>
        <v>55056.016000000003</v>
      </c>
      <c r="AE90" s="247">
        <f t="shared" si="298"/>
        <v>55591.827000000005</v>
      </c>
      <c r="AF90" s="247">
        <f t="shared" si="298"/>
        <v>53918.084999999999</v>
      </c>
      <c r="AG90" s="247">
        <f t="shared" si="298"/>
        <v>53918.923999999999</v>
      </c>
      <c r="AH90" s="247">
        <f t="shared" si="298"/>
        <v>56437.128999999994</v>
      </c>
      <c r="AI90" s="247">
        <f t="shared" si="298"/>
        <v>52892.045000000006</v>
      </c>
      <c r="AJ90" s="247">
        <f t="shared" ref="AJ90:AN90" si="299">+AJ85+AJ80+AJ88+AJ87</f>
        <v>52961.896000000001</v>
      </c>
      <c r="AK90" s="247">
        <f t="shared" ref="AK90" si="300">+AK85+AK80+AK88+AK87</f>
        <v>52109.447</v>
      </c>
      <c r="AL90" s="247">
        <f t="shared" si="299"/>
        <v>48120.021999999997</v>
      </c>
      <c r="AM90" s="247">
        <f t="shared" ref="AM90" si="301">+AM85+AM80+AM88+AM87</f>
        <v>47777.921000000002</v>
      </c>
      <c r="AN90" s="247">
        <f t="shared" si="299"/>
        <v>46635.470999999998</v>
      </c>
      <c r="AO90" s="247">
        <f t="shared" ref="AO90" si="302">+AO85+AO80+AO88+AO87</f>
        <v>45633.155999999995</v>
      </c>
      <c r="AP90" s="278">
        <f t="shared" ref="AP90:AS90" si="303">+AP85+AP80+AP88+AP87</f>
        <v>54620.583521957742</v>
      </c>
      <c r="AQ90" s="278">
        <f t="shared" si="303"/>
        <v>53137.169198672775</v>
      </c>
      <c r="AR90" s="278">
        <f t="shared" si="303"/>
        <v>51579.006320134664</v>
      </c>
      <c r="AS90" s="278">
        <f t="shared" si="303"/>
        <v>47168.673141501</v>
      </c>
      <c r="AU90" s="278">
        <v>43156.143190259856</v>
      </c>
      <c r="AW90" s="247">
        <f t="shared" ref="AW90:BO90" si="304">+AW85+AW80</f>
        <v>4418.4089999999997</v>
      </c>
      <c r="AX90" s="247">
        <f t="shared" si="304"/>
        <v>5432.28</v>
      </c>
      <c r="AY90" s="247">
        <f t="shared" si="304"/>
        <v>7067.53</v>
      </c>
      <c r="AZ90" s="247">
        <f t="shared" si="304"/>
        <v>9418.25</v>
      </c>
      <c r="BA90" s="247">
        <f t="shared" si="304"/>
        <v>10509.157999999999</v>
      </c>
      <c r="BB90" s="247">
        <f t="shared" si="304"/>
        <v>11126.144</v>
      </c>
      <c r="BC90" s="247">
        <f t="shared" si="304"/>
        <v>12320.151000000002</v>
      </c>
      <c r="BD90" s="247">
        <f t="shared" si="304"/>
        <v>12957.582</v>
      </c>
      <c r="BE90" s="247">
        <f t="shared" si="304"/>
        <v>13026.931</v>
      </c>
      <c r="BF90" s="247">
        <f t="shared" si="304"/>
        <v>13062.688999999998</v>
      </c>
      <c r="BG90" s="247">
        <f t="shared" si="304"/>
        <v>14036.63</v>
      </c>
      <c r="BH90" s="247">
        <f t="shared" si="304"/>
        <v>15546.473</v>
      </c>
      <c r="BI90" s="247">
        <f t="shared" si="304"/>
        <v>18534.472999999998</v>
      </c>
      <c r="BJ90" s="247">
        <f t="shared" si="304"/>
        <v>18674.2</v>
      </c>
      <c r="BK90" s="247">
        <f t="shared" si="304"/>
        <v>19221.734</v>
      </c>
      <c r="BL90" s="247">
        <f t="shared" si="304"/>
        <v>19410.360999999997</v>
      </c>
      <c r="BM90" s="247">
        <f t="shared" si="304"/>
        <v>20952.523999999998</v>
      </c>
      <c r="BN90" s="247">
        <f t="shared" si="304"/>
        <v>22998.822</v>
      </c>
      <c r="BO90" s="247">
        <f t="shared" si="304"/>
        <v>27309.491000000002</v>
      </c>
      <c r="BP90" s="247">
        <f t="shared" ref="BP90:CD90" si="305">+BP85+BP80+BP88+BP87</f>
        <v>40698.626300000004</v>
      </c>
      <c r="BQ90" s="247">
        <f t="shared" si="305"/>
        <v>39340.320000000007</v>
      </c>
      <c r="BR90" s="247">
        <f t="shared" si="305"/>
        <v>41205.213800000005</v>
      </c>
      <c r="BS90" s="247">
        <f t="shared" si="305"/>
        <v>41682.235000000001</v>
      </c>
      <c r="BT90" s="247">
        <f t="shared" si="305"/>
        <v>53316.650999999998</v>
      </c>
      <c r="BU90" s="247">
        <f t="shared" si="305"/>
        <v>48783.991999999998</v>
      </c>
      <c r="BV90" s="247">
        <f t="shared" si="305"/>
        <v>53540.619999999995</v>
      </c>
      <c r="BW90" s="247">
        <f t="shared" si="305"/>
        <v>53918.923999999999</v>
      </c>
      <c r="BX90" s="247">
        <f>+BX85+BX80+BX88+BX87</f>
        <v>52109.447</v>
      </c>
      <c r="BY90" s="247">
        <f>+BY85+BY80+BY88+BY87</f>
        <v>45633.155999999995</v>
      </c>
      <c r="BZ90" s="247">
        <f>+BZ85+BZ80+BZ88+BZ87</f>
        <v>47168.673141501</v>
      </c>
      <c r="CA90" s="278">
        <f t="shared" si="305"/>
        <v>49148.969269969632</v>
      </c>
      <c r="CB90" s="278">
        <f t="shared" si="305"/>
        <v>51131.719905113641</v>
      </c>
      <c r="CC90" s="278">
        <f t="shared" si="305"/>
        <v>53125.720241479525</v>
      </c>
      <c r="CD90" s="278">
        <f t="shared" si="305"/>
        <v>55191.538899290594</v>
      </c>
    </row>
    <row r="91" spans="1:82" s="339" customFormat="1" ht="13.5" customHeight="1">
      <c r="A91" s="339" t="s">
        <v>118</v>
      </c>
      <c r="B91" s="266">
        <f t="shared" ref="B91:AI91" si="306">+B90-B73</f>
        <v>0</v>
      </c>
      <c r="C91" s="266">
        <f t="shared" si="306"/>
        <v>2996.6540000000023</v>
      </c>
      <c r="D91" s="266">
        <f t="shared" si="306"/>
        <v>0</v>
      </c>
      <c r="E91" s="266">
        <f t="shared" si="306"/>
        <v>0</v>
      </c>
      <c r="F91" s="266">
        <f t="shared" si="306"/>
        <v>0</v>
      </c>
      <c r="G91" s="266">
        <f t="shared" si="306"/>
        <v>0</v>
      </c>
      <c r="H91" s="266">
        <f t="shared" si="306"/>
        <v>0</v>
      </c>
      <c r="I91" s="266">
        <f t="shared" si="306"/>
        <v>0</v>
      </c>
      <c r="J91" s="266">
        <f t="shared" si="306"/>
        <v>0.48299999999289867</v>
      </c>
      <c r="K91" s="266">
        <f t="shared" si="306"/>
        <v>9</v>
      </c>
      <c r="L91" s="266">
        <f t="shared" si="306"/>
        <v>0</v>
      </c>
      <c r="M91" s="266">
        <f t="shared" si="306"/>
        <v>-1.199999991513323E-3</v>
      </c>
      <c r="N91" s="266">
        <f t="shared" si="306"/>
        <v>-0.18400000000110595</v>
      </c>
      <c r="O91" s="266">
        <f t="shared" si="306"/>
        <v>9.0999999993073288E-2</v>
      </c>
      <c r="P91" s="266">
        <f t="shared" si="306"/>
        <v>0</v>
      </c>
      <c r="Q91" s="266">
        <f t="shared" si="306"/>
        <v>0</v>
      </c>
      <c r="R91" s="266">
        <f t="shared" si="306"/>
        <v>-0.30000000000291038</v>
      </c>
      <c r="S91" s="266">
        <f t="shared" si="306"/>
        <v>0</v>
      </c>
      <c r="T91" s="266">
        <f t="shared" si="306"/>
        <v>0</v>
      </c>
      <c r="U91" s="266">
        <f t="shared" si="306"/>
        <v>0</v>
      </c>
      <c r="V91" s="266">
        <f t="shared" si="306"/>
        <v>0</v>
      </c>
      <c r="W91" s="266">
        <f t="shared" si="306"/>
        <v>0</v>
      </c>
      <c r="X91" s="266">
        <f t="shared" si="306"/>
        <v>0</v>
      </c>
      <c r="Y91" s="266">
        <f t="shared" si="306"/>
        <v>-5.0999999948544428E-3</v>
      </c>
      <c r="Z91" s="266">
        <f t="shared" si="306"/>
        <v>0</v>
      </c>
      <c r="AA91" s="266">
        <f t="shared" si="306"/>
        <v>0</v>
      </c>
      <c r="AB91" s="266">
        <f t="shared" si="306"/>
        <v>0</v>
      </c>
      <c r="AC91" s="266">
        <f t="shared" si="306"/>
        <v>0</v>
      </c>
      <c r="AD91" s="266">
        <f t="shared" si="306"/>
        <v>0</v>
      </c>
      <c r="AE91" s="266">
        <f t="shared" si="306"/>
        <v>-1.9999999494757503E-4</v>
      </c>
      <c r="AF91" s="266">
        <f t="shared" si="306"/>
        <v>-8.0999999998311978E-2</v>
      </c>
      <c r="AG91" s="266">
        <f t="shared" si="306"/>
        <v>0</v>
      </c>
      <c r="AH91" s="266">
        <f t="shared" si="306"/>
        <v>0</v>
      </c>
      <c r="AI91" s="266">
        <f t="shared" si="306"/>
        <v>0</v>
      </c>
      <c r="AJ91" s="266">
        <f t="shared" ref="AJ91:AN91" si="307">+AJ90-AJ73</f>
        <v>0</v>
      </c>
      <c r="AK91" s="266">
        <f t="shared" ref="AK91" si="308">+AK90-AK73</f>
        <v>0</v>
      </c>
      <c r="AL91" s="266">
        <f t="shared" si="307"/>
        <v>0</v>
      </c>
      <c r="AM91" s="266">
        <f t="shared" ref="AM91" si="309">+AM90-AM73</f>
        <v>0</v>
      </c>
      <c r="AN91" s="266">
        <f t="shared" si="307"/>
        <v>0</v>
      </c>
      <c r="AO91" s="266">
        <f t="shared" ref="AO91" si="310">+AO90-AO73</f>
        <v>0</v>
      </c>
      <c r="AP91" s="306">
        <f t="shared" ref="AP91:AS91" si="311">+AP90-AP73</f>
        <v>500.00000000001455</v>
      </c>
      <c r="AQ91" s="306">
        <f t="shared" si="311"/>
        <v>1000</v>
      </c>
      <c r="AR91" s="306">
        <f t="shared" si="311"/>
        <v>1500</v>
      </c>
      <c r="AS91" s="306">
        <f t="shared" si="311"/>
        <v>2000</v>
      </c>
      <c r="AU91" s="306">
        <v>500.00000000001455</v>
      </c>
      <c r="AV91" s="266"/>
      <c r="AW91" s="266">
        <f t="shared" ref="AW91:BO91" si="312">AW87+AW88+AW90-AW73</f>
        <v>-2.0000000004074536E-3</v>
      </c>
      <c r="AX91" s="266">
        <f t="shared" si="312"/>
        <v>-2.0000000040454324E-3</v>
      </c>
      <c r="AY91" s="266">
        <f t="shared" si="312"/>
        <v>0</v>
      </c>
      <c r="AZ91" s="266">
        <f t="shared" si="312"/>
        <v>0</v>
      </c>
      <c r="BA91" s="266">
        <f t="shared" si="312"/>
        <v>0</v>
      </c>
      <c r="BB91" s="266">
        <f t="shared" si="312"/>
        <v>0</v>
      </c>
      <c r="BC91" s="266">
        <f t="shared" si="312"/>
        <v>0</v>
      </c>
      <c r="BD91" s="266">
        <f t="shared" si="312"/>
        <v>0</v>
      </c>
      <c r="BE91" s="266">
        <f t="shared" si="312"/>
        <v>0</v>
      </c>
      <c r="BF91" s="266">
        <f t="shared" si="312"/>
        <v>0</v>
      </c>
      <c r="BG91" s="266">
        <f t="shared" si="312"/>
        <v>0</v>
      </c>
      <c r="BH91" s="266">
        <f t="shared" si="312"/>
        <v>0</v>
      </c>
      <c r="BI91" s="266">
        <f t="shared" si="312"/>
        <v>0</v>
      </c>
      <c r="BJ91" s="266">
        <f t="shared" si="312"/>
        <v>0</v>
      </c>
      <c r="BK91" s="266">
        <f t="shared" si="312"/>
        <v>0</v>
      </c>
      <c r="BL91" s="266">
        <f t="shared" si="312"/>
        <v>0</v>
      </c>
      <c r="BM91" s="266">
        <f t="shared" si="312"/>
        <v>0</v>
      </c>
      <c r="BN91" s="266">
        <f t="shared" si="312"/>
        <v>0</v>
      </c>
      <c r="BO91" s="266">
        <f t="shared" si="312"/>
        <v>0</v>
      </c>
      <c r="BP91" s="266">
        <f t="shared" ref="BP91:CD91" si="313">+BP90-BP73</f>
        <v>0</v>
      </c>
      <c r="BQ91" s="266" t="e">
        <f t="shared" si="313"/>
        <v>#REF!</v>
      </c>
      <c r="BR91" s="266" t="e">
        <f t="shared" si="313"/>
        <v>#REF!</v>
      </c>
      <c r="BS91" s="266" t="e">
        <f t="shared" si="313"/>
        <v>#REF!</v>
      </c>
      <c r="BT91" s="266">
        <f t="shared" si="313"/>
        <v>0</v>
      </c>
      <c r="BU91" s="266">
        <f t="shared" si="313"/>
        <v>-5.0999999948544428E-3</v>
      </c>
      <c r="BV91" s="266">
        <f t="shared" si="313"/>
        <v>0</v>
      </c>
      <c r="BW91" s="266">
        <f t="shared" si="313"/>
        <v>0</v>
      </c>
      <c r="BX91" s="266">
        <f t="shared" si="313"/>
        <v>0</v>
      </c>
      <c r="BY91" s="266">
        <f>+BY90-BY73</f>
        <v>0</v>
      </c>
      <c r="BZ91" s="266">
        <f>+BZ90-BZ73</f>
        <v>2000</v>
      </c>
      <c r="CA91" s="306">
        <f t="shared" si="313"/>
        <v>2000</v>
      </c>
      <c r="CB91" s="306">
        <f t="shared" si="313"/>
        <v>2000</v>
      </c>
      <c r="CC91" s="306">
        <f t="shared" si="313"/>
        <v>2000.0000000000073</v>
      </c>
      <c r="CD91" s="306">
        <f t="shared" si="313"/>
        <v>2000.0000000000146</v>
      </c>
    </row>
    <row r="92" spans="1:82" ht="13.5" customHeight="1">
      <c r="B92" s="264"/>
      <c r="C92" s="264"/>
      <c r="D92" s="264"/>
      <c r="E92" s="264"/>
      <c r="F92" s="264"/>
      <c r="G92" s="264"/>
      <c r="H92" s="264"/>
      <c r="I92" s="264"/>
      <c r="J92" s="264"/>
      <c r="K92" s="264"/>
      <c r="L92" s="264"/>
      <c r="M92" s="264"/>
      <c r="N92" s="264"/>
      <c r="O92" s="264"/>
      <c r="P92" s="264"/>
      <c r="Q92" s="264"/>
      <c r="R92" s="264"/>
      <c r="S92" s="264"/>
      <c r="T92" s="264"/>
      <c r="U92" s="264"/>
      <c r="V92" s="264"/>
      <c r="W92" s="264"/>
      <c r="X92" s="264"/>
      <c r="Y92" s="264"/>
      <c r="Z92" s="264"/>
      <c r="AA92" s="264"/>
      <c r="AB92" s="264"/>
      <c r="AC92" s="264"/>
      <c r="AD92" s="264"/>
      <c r="AE92" s="264"/>
      <c r="AF92" s="264"/>
      <c r="AG92" s="264"/>
      <c r="AH92" s="264"/>
      <c r="AI92" s="264"/>
      <c r="AJ92" s="264"/>
      <c r="AK92" s="264"/>
      <c r="AL92" s="264"/>
      <c r="AM92" s="264"/>
      <c r="AN92" s="264"/>
      <c r="AO92" s="264"/>
      <c r="AP92" s="303"/>
      <c r="AQ92" s="303"/>
      <c r="AR92" s="303"/>
      <c r="AS92" s="303"/>
      <c r="AU92" s="303"/>
      <c r="AW92" s="264"/>
      <c r="AX92" s="264"/>
      <c r="AY92" s="264"/>
      <c r="AZ92" s="264"/>
      <c r="BA92" s="264"/>
      <c r="BB92" s="264"/>
      <c r="BC92" s="264"/>
      <c r="BD92" s="264"/>
      <c r="BE92" s="264"/>
      <c r="BF92" s="264"/>
      <c r="BG92" s="264"/>
      <c r="BH92" s="264"/>
      <c r="BI92" s="264"/>
      <c r="BJ92" s="264"/>
      <c r="BK92" s="264"/>
      <c r="BL92" s="264"/>
      <c r="BM92" s="264"/>
      <c r="BN92" s="264"/>
      <c r="BO92" s="264"/>
      <c r="BP92" s="264"/>
      <c r="BQ92" s="264"/>
      <c r="BR92" s="264"/>
      <c r="BS92" s="264"/>
      <c r="BT92" s="264"/>
      <c r="BU92" s="264"/>
      <c r="BV92" s="264"/>
      <c r="BW92" s="264"/>
      <c r="BX92" s="264"/>
      <c r="BY92" s="264"/>
      <c r="BZ92" s="264"/>
      <c r="CA92" s="303"/>
      <c r="CB92" s="303"/>
      <c r="CC92" s="303"/>
      <c r="CD92" s="303"/>
    </row>
    <row r="93" spans="1:82" s="319" customFormat="1" ht="13.5" customHeight="1">
      <c r="A93" s="319" t="s">
        <v>119</v>
      </c>
      <c r="B93" s="247">
        <f t="shared" ref="B93:AI93" si="314">(B57+B61+B59-B76-B78)</f>
        <v>-4587.2310000000007</v>
      </c>
      <c r="C93" s="247">
        <f t="shared" si="314"/>
        <v>-2917.2679999999991</v>
      </c>
      <c r="D93" s="247">
        <f t="shared" si="314"/>
        <v>-1026.7608999999984</v>
      </c>
      <c r="E93" s="247">
        <f t="shared" si="314"/>
        <v>1.071100000000115</v>
      </c>
      <c r="F93" s="247">
        <f t="shared" si="314"/>
        <v>-3839.0118999999995</v>
      </c>
      <c r="G93" s="247">
        <f t="shared" si="314"/>
        <v>-1684.561999999999</v>
      </c>
      <c r="H93" s="247">
        <f t="shared" si="314"/>
        <v>-686.68100000000049</v>
      </c>
      <c r="I93" s="247">
        <f t="shared" si="314"/>
        <v>1177.2880000000005</v>
      </c>
      <c r="J93" s="247">
        <f t="shared" si="314"/>
        <v>-3269.8557999999994</v>
      </c>
      <c r="K93" s="247">
        <f t="shared" si="314"/>
        <v>-1595.3310000000001</v>
      </c>
      <c r="L93" s="247">
        <f t="shared" si="314"/>
        <v>-750.50900000000001</v>
      </c>
      <c r="M93" s="247">
        <f t="shared" si="314"/>
        <v>1208.4812000000002</v>
      </c>
      <c r="N93" s="247">
        <f t="shared" si="314"/>
        <v>-4014.9380000000001</v>
      </c>
      <c r="O93" s="247">
        <f t="shared" si="314"/>
        <v>-2530.4720000000016</v>
      </c>
      <c r="P93" s="247">
        <f t="shared" si="314"/>
        <v>-1871.9959999999992</v>
      </c>
      <c r="Q93" s="247">
        <f t="shared" si="314"/>
        <v>-291.02000000000044</v>
      </c>
      <c r="R93" s="247">
        <f t="shared" si="314"/>
        <v>-4954.75</v>
      </c>
      <c r="S93" s="247">
        <f t="shared" si="314"/>
        <v>-3665.0249999999996</v>
      </c>
      <c r="T93" s="247">
        <f t="shared" si="314"/>
        <v>-2912.6909999999989</v>
      </c>
      <c r="U93" s="247">
        <f t="shared" si="314"/>
        <v>-1085.6690000000017</v>
      </c>
      <c r="V93" s="247">
        <f t="shared" si="314"/>
        <v>-6132.4879999999976</v>
      </c>
      <c r="W93" s="247">
        <f t="shared" si="314"/>
        <v>-3429.4969999999976</v>
      </c>
      <c r="X93" s="247">
        <f t="shared" si="314"/>
        <v>-2923.6449999999986</v>
      </c>
      <c r="Y93" s="247">
        <f t="shared" si="314"/>
        <v>-724.38690000000133</v>
      </c>
      <c r="Z93" s="247">
        <f t="shared" si="314"/>
        <v>-5093.4359999999997</v>
      </c>
      <c r="AA93" s="247">
        <f t="shared" si="314"/>
        <v>-4446.1439999999984</v>
      </c>
      <c r="AB93" s="247">
        <f t="shared" si="314"/>
        <v>-3385.8260000000009</v>
      </c>
      <c r="AC93" s="247">
        <f t="shared" si="314"/>
        <v>-936.11200000000099</v>
      </c>
      <c r="AD93" s="247">
        <f t="shared" si="314"/>
        <v>-5469.6419999999998</v>
      </c>
      <c r="AE93" s="247">
        <f t="shared" si="314"/>
        <v>-3814.6657999999989</v>
      </c>
      <c r="AF93" s="247">
        <f t="shared" si="314"/>
        <v>-3346.1500000000015</v>
      </c>
      <c r="AG93" s="247">
        <f t="shared" si="314"/>
        <v>-1958.9679999999989</v>
      </c>
      <c r="AH93" s="247">
        <f t="shared" si="314"/>
        <v>-6745.6620000000021</v>
      </c>
      <c r="AI93" s="247">
        <f t="shared" si="314"/>
        <v>-5366.1560000000009</v>
      </c>
      <c r="AJ93" s="247">
        <f t="shared" ref="AJ93:AN93" si="315">(AJ57+AJ61+AJ59-AJ76-AJ78)</f>
        <v>-4105.5120000000024</v>
      </c>
      <c r="AK93" s="247">
        <f t="shared" si="315"/>
        <v>-1561.5770000000011</v>
      </c>
      <c r="AL93" s="247">
        <f t="shared" si="315"/>
        <v>-7768.2400000000016</v>
      </c>
      <c r="AM93" s="247">
        <f t="shared" ref="AM93" si="316">(AM57+AM61+AM59-AM76-AM78)</f>
        <v>-5452.8850000000002</v>
      </c>
      <c r="AN93" s="247">
        <f t="shared" si="315"/>
        <v>-4330.1090000000004</v>
      </c>
      <c r="AO93" s="247">
        <f t="shared" ref="AO93" si="317">(AO57+AO61+AO59-AO76-AO78)</f>
        <v>-1081.1099999999988</v>
      </c>
      <c r="AP93" s="278">
        <f t="shared" ref="AP93:AS93" si="318">(AP57+AP61+AP59-AP76-AP78)</f>
        <v>-8046.6910765377415</v>
      </c>
      <c r="AQ93" s="278">
        <f t="shared" si="318"/>
        <v>-5824.4525536664796</v>
      </c>
      <c r="AR93" s="278">
        <f t="shared" si="318"/>
        <v>-4727.8865767664474</v>
      </c>
      <c r="AS93" s="278">
        <f t="shared" si="318"/>
        <v>-949.80735916907861</v>
      </c>
      <c r="AU93" s="278">
        <v>-1513.6573784571724</v>
      </c>
      <c r="AW93" s="247">
        <f t="shared" ref="AW93:CD93" si="319">(AW57+AW61+AW59-AW76-AW78)</f>
        <v>1555.2629999999999</v>
      </c>
      <c r="AX93" s="247">
        <f t="shared" si="319"/>
        <v>1593.2960000000003</v>
      </c>
      <c r="AY93" s="247">
        <f t="shared" si="319"/>
        <v>1638.355</v>
      </c>
      <c r="AZ93" s="247">
        <f t="shared" si="319"/>
        <v>1978.2279999999994</v>
      </c>
      <c r="BA93" s="247">
        <f t="shared" si="319"/>
        <v>2130.2730000000001</v>
      </c>
      <c r="BB93" s="247">
        <f t="shared" si="319"/>
        <v>1962.7609999999995</v>
      </c>
      <c r="BC93" s="247">
        <f t="shared" si="319"/>
        <v>2372.3019999999997</v>
      </c>
      <c r="BD93" s="247">
        <f t="shared" si="319"/>
        <v>1992.7839999999997</v>
      </c>
      <c r="BE93" s="247">
        <f t="shared" si="319"/>
        <v>1605.4370000000008</v>
      </c>
      <c r="BF93" s="247">
        <f t="shared" si="319"/>
        <v>493.91699999999901</v>
      </c>
      <c r="BG93" s="247">
        <f t="shared" si="319"/>
        <v>1082.7849999999999</v>
      </c>
      <c r="BH93" s="247">
        <f t="shared" si="319"/>
        <v>1059.5749999999998</v>
      </c>
      <c r="BI93" s="247">
        <f t="shared" si="319"/>
        <v>-3017.3550000000005</v>
      </c>
      <c r="BJ93" s="247">
        <f t="shared" si="319"/>
        <v>1324.15</v>
      </c>
      <c r="BK93" s="247">
        <f t="shared" si="319"/>
        <v>1992.62</v>
      </c>
      <c r="BL93" s="247">
        <f t="shared" si="319"/>
        <v>161.69499999999971</v>
      </c>
      <c r="BM93" s="247">
        <f t="shared" si="319"/>
        <v>-1965.8299999999981</v>
      </c>
      <c r="BN93" s="247">
        <f t="shared" si="319"/>
        <v>-891.36099999999988</v>
      </c>
      <c r="BO93" s="247">
        <f t="shared" si="319"/>
        <v>-1231.4390000000003</v>
      </c>
      <c r="BP93" s="247">
        <f t="shared" si="319"/>
        <v>1.071100000000115</v>
      </c>
      <c r="BQ93" s="247">
        <f t="shared" si="319"/>
        <v>1177.2880000000005</v>
      </c>
      <c r="BR93" s="247">
        <f t="shared" si="319"/>
        <v>1208.4812000000002</v>
      </c>
      <c r="BS93" s="247">
        <f t="shared" si="319"/>
        <v>-291.02000000000044</v>
      </c>
      <c r="BT93" s="247">
        <f t="shared" si="319"/>
        <v>-1085.6690000000017</v>
      </c>
      <c r="BU93" s="247">
        <f t="shared" si="319"/>
        <v>-724.38690000000133</v>
      </c>
      <c r="BV93" s="247">
        <f t="shared" si="319"/>
        <v>-936.11200000000099</v>
      </c>
      <c r="BW93" s="247">
        <f t="shared" si="319"/>
        <v>-1958.9679999999989</v>
      </c>
      <c r="BX93" s="247">
        <f>(BX57+BX61+BX59-BX76-BX78)</f>
        <v>-1561.5770000000011</v>
      </c>
      <c r="BY93" s="247">
        <f>(BY57+BY61+BY59-BY76-BY78)</f>
        <v>-1081.1099999999988</v>
      </c>
      <c r="BZ93" s="247">
        <f>(BZ57+BZ61+BZ59-BZ76-BZ78)</f>
        <v>-949.80735916907861</v>
      </c>
      <c r="CA93" s="278">
        <f t="shared" si="319"/>
        <v>-1028.8641778009705</v>
      </c>
      <c r="CB93" s="278">
        <f t="shared" si="319"/>
        <v>-1085.7680959142244</v>
      </c>
      <c r="CC93" s="278">
        <f t="shared" si="319"/>
        <v>-1146.6681838174682</v>
      </c>
      <c r="CD93" s="278">
        <f t="shared" si="319"/>
        <v>-1211.5026220360542</v>
      </c>
    </row>
    <row r="94" spans="1:82" s="319" customFormat="1" ht="13.5" customHeight="1">
      <c r="A94" s="319" t="s">
        <v>120</v>
      </c>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c r="AA94" s="247"/>
      <c r="AB94" s="247"/>
      <c r="AC94" s="247"/>
      <c r="AD94" s="247"/>
      <c r="AE94" s="247"/>
      <c r="AF94" s="247"/>
      <c r="AG94" s="247"/>
      <c r="AH94" s="247"/>
      <c r="AI94" s="247"/>
      <c r="AJ94" s="247"/>
      <c r="AK94" s="247"/>
      <c r="AL94" s="247"/>
      <c r="AM94" s="247"/>
      <c r="AN94" s="247"/>
      <c r="AO94" s="247"/>
      <c r="AP94" s="278"/>
      <c r="AQ94" s="278"/>
      <c r="AR94" s="278"/>
      <c r="AS94" s="278"/>
      <c r="AU94" s="278"/>
      <c r="AW94" s="247"/>
      <c r="AX94" s="247"/>
      <c r="AY94" s="247"/>
      <c r="AZ94" s="247"/>
      <c r="BA94" s="247"/>
      <c r="BB94" s="247"/>
      <c r="BC94" s="247"/>
      <c r="BD94" s="247"/>
      <c r="BE94" s="247"/>
      <c r="BF94" s="247"/>
      <c r="BG94" s="247"/>
      <c r="BH94" s="247"/>
      <c r="BI94" s="247"/>
      <c r="BJ94" s="247"/>
      <c r="BK94" s="247"/>
      <c r="BL94" s="247"/>
      <c r="BM94" s="247"/>
      <c r="BN94" s="247"/>
      <c r="BO94" s="247"/>
      <c r="BP94" s="247"/>
      <c r="BQ94" s="247"/>
      <c r="BR94" s="247"/>
      <c r="BS94" s="247"/>
      <c r="BT94" s="247">
        <f t="shared" ref="BT94:CD94" si="320">+BT93+BT67</f>
        <v>15284.472999999998</v>
      </c>
      <c r="BU94" s="247">
        <f t="shared" si="320"/>
        <v>16346.929099999998</v>
      </c>
      <c r="BV94" s="247">
        <f t="shared" si="320"/>
        <v>16831.924999999999</v>
      </c>
      <c r="BW94" s="247">
        <f t="shared" si="320"/>
        <v>15965.671</v>
      </c>
      <c r="BX94" s="247">
        <f t="shared" si="320"/>
        <v>17280.067999999999</v>
      </c>
      <c r="BY94" s="247">
        <f t="shared" si="320"/>
        <v>18045.342000000004</v>
      </c>
      <c r="BZ94" s="247">
        <f t="shared" ref="BZ94" si="321">+BZ93+BZ67</f>
        <v>18034.129103027768</v>
      </c>
      <c r="CA94" s="278">
        <f t="shared" si="320"/>
        <v>17983.47749978361</v>
      </c>
      <c r="CB94" s="278">
        <f t="shared" si="320"/>
        <v>17992.467126535998</v>
      </c>
      <c r="CC94" s="278">
        <f t="shared" si="320"/>
        <v>18031.818218976463</v>
      </c>
      <c r="CD94" s="278">
        <f t="shared" si="320"/>
        <v>18098.807140339864</v>
      </c>
    </row>
    <row r="95" spans="1:82" ht="13.5" customHeight="1">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94"/>
      <c r="AQ95" s="294"/>
      <c r="AR95" s="294"/>
      <c r="AS95" s="294"/>
      <c r="AU95" s="294"/>
      <c r="AW95" s="258"/>
      <c r="AX95" s="258"/>
      <c r="AY95" s="258"/>
      <c r="AZ95" s="258"/>
      <c r="BA95" s="258"/>
      <c r="BB95" s="258"/>
      <c r="BC95" s="258"/>
      <c r="BD95" s="258"/>
      <c r="BE95" s="258"/>
      <c r="BF95" s="258"/>
      <c r="BG95" s="258"/>
      <c r="BH95" s="258"/>
      <c r="BI95" s="258"/>
      <c r="BJ95" s="258"/>
      <c r="BK95" s="258"/>
      <c r="BL95" s="258"/>
      <c r="BM95" s="258"/>
      <c r="BN95" s="258"/>
      <c r="BO95" s="258"/>
      <c r="BP95" s="258"/>
      <c r="BQ95" s="258"/>
      <c r="BR95" s="258"/>
      <c r="BS95" s="258"/>
      <c r="BT95" s="258"/>
      <c r="BU95" s="258"/>
      <c r="BV95" s="258"/>
      <c r="BW95" s="258"/>
      <c r="BX95" s="258"/>
      <c r="BY95" s="258"/>
      <c r="BZ95" s="258"/>
      <c r="CA95" s="294"/>
      <c r="CB95" s="294"/>
      <c r="CC95" s="294"/>
      <c r="CD95" s="294"/>
    </row>
    <row r="96" spans="1:82" ht="13.5" customHeight="1">
      <c r="A96" s="321" t="s">
        <v>121</v>
      </c>
      <c r="B96" s="244">
        <f>B$2</f>
        <v>42459</v>
      </c>
      <c r="C96" s="244">
        <f>C$2</f>
        <v>42551</v>
      </c>
      <c r="D96" s="244">
        <f>D$2</f>
        <v>42643</v>
      </c>
      <c r="E96" s="244">
        <f>E$2</f>
        <v>42735</v>
      </c>
      <c r="F96" s="244">
        <f t="shared" ref="F96:K96" si="322">F$2</f>
        <v>42825</v>
      </c>
      <c r="G96" s="244">
        <f t="shared" si="322"/>
        <v>42916</v>
      </c>
      <c r="H96" s="244">
        <f t="shared" si="322"/>
        <v>43008</v>
      </c>
      <c r="I96" s="244">
        <f t="shared" si="322"/>
        <v>43100</v>
      </c>
      <c r="J96" s="244">
        <f t="shared" si="322"/>
        <v>43190</v>
      </c>
      <c r="K96" s="244">
        <f t="shared" si="322"/>
        <v>43281</v>
      </c>
      <c r="L96" s="244">
        <f t="shared" ref="L96:AS96" si="323">L$2</f>
        <v>43373</v>
      </c>
      <c r="M96" s="244">
        <f t="shared" si="323"/>
        <v>43465</v>
      </c>
      <c r="N96" s="244">
        <f t="shared" si="323"/>
        <v>43555</v>
      </c>
      <c r="O96" s="244">
        <f t="shared" si="323"/>
        <v>43646</v>
      </c>
      <c r="P96" s="244">
        <f t="shared" si="323"/>
        <v>43738</v>
      </c>
      <c r="Q96" s="244">
        <f t="shared" si="323"/>
        <v>43830</v>
      </c>
      <c r="R96" s="244">
        <f t="shared" si="323"/>
        <v>43921</v>
      </c>
      <c r="S96" s="244">
        <f t="shared" si="323"/>
        <v>44012</v>
      </c>
      <c r="T96" s="244">
        <f t="shared" si="323"/>
        <v>44104</v>
      </c>
      <c r="U96" s="244">
        <f t="shared" si="323"/>
        <v>44196</v>
      </c>
      <c r="V96" s="244">
        <f t="shared" si="323"/>
        <v>44286</v>
      </c>
      <c r="W96" s="244">
        <f t="shared" si="323"/>
        <v>44377</v>
      </c>
      <c r="X96" s="244">
        <f t="shared" si="323"/>
        <v>44469</v>
      </c>
      <c r="Y96" s="244">
        <f t="shared" si="323"/>
        <v>44561</v>
      </c>
      <c r="Z96" s="244">
        <f t="shared" si="323"/>
        <v>44651</v>
      </c>
      <c r="AA96" s="244">
        <f t="shared" si="323"/>
        <v>44742</v>
      </c>
      <c r="AB96" s="244">
        <f t="shared" si="323"/>
        <v>44834</v>
      </c>
      <c r="AC96" s="244">
        <f t="shared" si="323"/>
        <v>44926</v>
      </c>
      <c r="AD96" s="244">
        <f t="shared" si="323"/>
        <v>45016</v>
      </c>
      <c r="AE96" s="244">
        <f t="shared" si="323"/>
        <v>45107</v>
      </c>
      <c r="AF96" s="244">
        <f t="shared" si="323"/>
        <v>45199</v>
      </c>
      <c r="AG96" s="244">
        <f t="shared" si="323"/>
        <v>45291</v>
      </c>
      <c r="AH96" s="244">
        <f t="shared" si="323"/>
        <v>45382</v>
      </c>
      <c r="AI96" s="244">
        <f t="shared" si="323"/>
        <v>45473</v>
      </c>
      <c r="AJ96" s="244">
        <f t="shared" si="323"/>
        <v>45565</v>
      </c>
      <c r="AK96" s="244">
        <f t="shared" si="323"/>
        <v>45657</v>
      </c>
      <c r="AL96" s="244">
        <f t="shared" si="323"/>
        <v>45747</v>
      </c>
      <c r="AM96" s="244">
        <f t="shared" si="323"/>
        <v>45838</v>
      </c>
      <c r="AN96" s="244">
        <f t="shared" si="323"/>
        <v>45930</v>
      </c>
      <c r="AO96" s="244">
        <f t="shared" si="323"/>
        <v>46022</v>
      </c>
      <c r="AP96" s="244">
        <f t="shared" si="323"/>
        <v>46112</v>
      </c>
      <c r="AQ96" s="244">
        <f t="shared" si="323"/>
        <v>46203</v>
      </c>
      <c r="AR96" s="244">
        <f t="shared" si="323"/>
        <v>46295</v>
      </c>
      <c r="AS96" s="244">
        <f t="shared" si="323"/>
        <v>46387</v>
      </c>
      <c r="AU96" s="244">
        <v>46022</v>
      </c>
      <c r="AW96" s="244">
        <f t="shared" ref="AW96:CD96" si="324">AW$2</f>
        <v>35795</v>
      </c>
      <c r="AX96" s="244">
        <f t="shared" si="324"/>
        <v>36160</v>
      </c>
      <c r="AY96" s="244">
        <f t="shared" si="324"/>
        <v>36525</v>
      </c>
      <c r="AZ96" s="244">
        <f t="shared" si="324"/>
        <v>36891</v>
      </c>
      <c r="BA96" s="244">
        <f t="shared" si="324"/>
        <v>37256</v>
      </c>
      <c r="BB96" s="244">
        <f t="shared" si="324"/>
        <v>37621</v>
      </c>
      <c r="BC96" s="244">
        <f t="shared" si="324"/>
        <v>37986</v>
      </c>
      <c r="BD96" s="244">
        <f t="shared" si="324"/>
        <v>38352</v>
      </c>
      <c r="BE96" s="244">
        <f t="shared" si="324"/>
        <v>38717</v>
      </c>
      <c r="BF96" s="244">
        <f t="shared" si="324"/>
        <v>39082</v>
      </c>
      <c r="BG96" s="244">
        <f t="shared" si="324"/>
        <v>39447</v>
      </c>
      <c r="BH96" s="244">
        <f t="shared" si="324"/>
        <v>39813</v>
      </c>
      <c r="BI96" s="244">
        <f t="shared" si="324"/>
        <v>40178</v>
      </c>
      <c r="BJ96" s="244">
        <f t="shared" si="324"/>
        <v>40543</v>
      </c>
      <c r="BK96" s="244">
        <f t="shared" si="324"/>
        <v>40908</v>
      </c>
      <c r="BL96" s="244">
        <f t="shared" si="324"/>
        <v>41274</v>
      </c>
      <c r="BM96" s="244">
        <f t="shared" si="324"/>
        <v>41639</v>
      </c>
      <c r="BN96" s="244">
        <f t="shared" si="324"/>
        <v>42004</v>
      </c>
      <c r="BO96" s="244">
        <f t="shared" si="324"/>
        <v>42369</v>
      </c>
      <c r="BP96" s="244">
        <f t="shared" si="324"/>
        <v>42735</v>
      </c>
      <c r="BQ96" s="244">
        <f t="shared" si="324"/>
        <v>43100</v>
      </c>
      <c r="BR96" s="244">
        <f t="shared" si="324"/>
        <v>43465</v>
      </c>
      <c r="BS96" s="244">
        <f t="shared" si="324"/>
        <v>43830</v>
      </c>
      <c r="BT96" s="244">
        <f t="shared" si="324"/>
        <v>44196</v>
      </c>
      <c r="BU96" s="244">
        <f t="shared" si="324"/>
        <v>44561</v>
      </c>
      <c r="BV96" s="244">
        <f t="shared" si="324"/>
        <v>44926</v>
      </c>
      <c r="BW96" s="244">
        <f t="shared" si="324"/>
        <v>45291</v>
      </c>
      <c r="BX96" s="244">
        <f t="shared" si="324"/>
        <v>45657</v>
      </c>
      <c r="BY96" s="244">
        <f t="shared" si="324"/>
        <v>46022</v>
      </c>
      <c r="BZ96" s="244">
        <f t="shared" si="324"/>
        <v>46387</v>
      </c>
      <c r="CA96" s="244">
        <f t="shared" si="324"/>
        <v>46752</v>
      </c>
      <c r="CB96" s="244">
        <f t="shared" si="324"/>
        <v>47118</v>
      </c>
      <c r="CC96" s="244">
        <f t="shared" si="324"/>
        <v>47483</v>
      </c>
      <c r="CD96" s="244">
        <f t="shared" si="324"/>
        <v>47848</v>
      </c>
    </row>
    <row r="97" spans="1:82" ht="13.5" customHeight="1">
      <c r="A97" s="260" t="s">
        <v>11</v>
      </c>
      <c r="B97" s="258">
        <f t="shared" ref="B97:AI97" si="325">B27</f>
        <v>1109.7949999999985</v>
      </c>
      <c r="C97" s="258">
        <f t="shared" si="325"/>
        <v>1178.0549999999989</v>
      </c>
      <c r="D97" s="258">
        <f t="shared" si="325"/>
        <v>1312.8140000000003</v>
      </c>
      <c r="E97" s="258">
        <f t="shared" si="325"/>
        <v>1192.9009999999994</v>
      </c>
      <c r="F97" s="258">
        <f t="shared" si="325"/>
        <v>1094.9179989999998</v>
      </c>
      <c r="G97" s="258">
        <f t="shared" si="325"/>
        <v>1013.3690000000005</v>
      </c>
      <c r="H97" s="258">
        <f t="shared" si="325"/>
        <v>854.47300000000041</v>
      </c>
      <c r="I97" s="258">
        <f t="shared" si="325"/>
        <v>1074.5429999999997</v>
      </c>
      <c r="J97" s="258">
        <f t="shared" si="325"/>
        <v>1206.6629999999996</v>
      </c>
      <c r="K97" s="258">
        <f t="shared" si="325"/>
        <v>1094.6119999999996</v>
      </c>
      <c r="L97" s="258">
        <f t="shared" si="325"/>
        <v>907.20099999999979</v>
      </c>
      <c r="M97" s="258">
        <f t="shared" si="325"/>
        <v>1005.7500000000002</v>
      </c>
      <c r="N97" s="258">
        <f t="shared" si="325"/>
        <v>1152.432</v>
      </c>
      <c r="O97" s="258">
        <f t="shared" si="325"/>
        <v>1307.0580000000002</v>
      </c>
      <c r="P97" s="258">
        <f t="shared" si="325"/>
        <v>1233.4289999999996</v>
      </c>
      <c r="Q97" s="258">
        <f t="shared" si="325"/>
        <v>1448.9389999999999</v>
      </c>
      <c r="R97" s="258">
        <f t="shared" si="325"/>
        <v>1527.8709999999996</v>
      </c>
      <c r="S97" s="258">
        <f t="shared" si="325"/>
        <v>1739.1950000000002</v>
      </c>
      <c r="T97" s="258">
        <f t="shared" si="325"/>
        <v>1347.9510000000007</v>
      </c>
      <c r="U97" s="258">
        <f t="shared" si="325"/>
        <v>1610.5510000000004</v>
      </c>
      <c r="V97" s="258">
        <f t="shared" si="325"/>
        <v>1602.1979999999999</v>
      </c>
      <c r="W97" s="258">
        <f t="shared" si="325"/>
        <v>1222.223</v>
      </c>
      <c r="X97" s="258">
        <f t="shared" si="325"/>
        <v>878.96099999999933</v>
      </c>
      <c r="Y97" s="258">
        <f t="shared" si="325"/>
        <v>790.48599999999942</v>
      </c>
      <c r="Z97" s="258">
        <f t="shared" si="325"/>
        <v>1091.2970000000005</v>
      </c>
      <c r="AA97" s="258">
        <f t="shared" si="325"/>
        <v>1175.4169999999995</v>
      </c>
      <c r="AB97" s="258">
        <f t="shared" si="325"/>
        <v>1244.9839999999995</v>
      </c>
      <c r="AC97" s="258">
        <f t="shared" si="325"/>
        <v>1422.5520000000006</v>
      </c>
      <c r="AD97" s="258">
        <f t="shared" si="325"/>
        <v>1612.425</v>
      </c>
      <c r="AE97" s="258">
        <f t="shared" si="325"/>
        <v>1799.3270000000007</v>
      </c>
      <c r="AF97" s="258">
        <f t="shared" si="325"/>
        <v>1670.7869999999994</v>
      </c>
      <c r="AG97" s="258">
        <f t="shared" si="325"/>
        <v>1930.3060000000009</v>
      </c>
      <c r="AH97" s="258">
        <f t="shared" si="325"/>
        <v>2081.5629999999992</v>
      </c>
      <c r="AI97" s="258">
        <f t="shared" si="325"/>
        <v>2133.34</v>
      </c>
      <c r="AJ97" s="258">
        <f t="shared" ref="AJ97:AK97" si="326">AJ27</f>
        <v>1824.3491000000006</v>
      </c>
      <c r="AK97" s="258">
        <f t="shared" si="326"/>
        <v>1791.511</v>
      </c>
      <c r="AL97" s="258">
        <f t="shared" ref="AL97:AN97" si="327">AL27</f>
        <v>1839.3090000000007</v>
      </c>
      <c r="AM97" s="258">
        <f t="shared" si="327"/>
        <v>1866.1150000000002</v>
      </c>
      <c r="AN97" s="258">
        <f t="shared" si="327"/>
        <v>1677.8510000000006</v>
      </c>
      <c r="AO97" s="258">
        <f t="shared" ref="AO97" si="328">AO27</f>
        <v>2195.3889999999992</v>
      </c>
      <c r="AP97" s="307">
        <f t="shared" ref="AP97:AS97" si="329">AP27</f>
        <v>1974.0804612396773</v>
      </c>
      <c r="AQ97" s="307">
        <f t="shared" si="329"/>
        <v>2141.8250212959697</v>
      </c>
      <c r="AR97" s="307">
        <f t="shared" si="329"/>
        <v>1854.1863664948767</v>
      </c>
      <c r="AS97" s="307">
        <f t="shared" si="329"/>
        <v>2139.9285033014007</v>
      </c>
      <c r="AT97" s="258"/>
      <c r="AU97" s="307">
        <v>1920.6434787342491</v>
      </c>
      <c r="AW97" s="258">
        <f t="shared" ref="AW97:CD97" si="330">AW27</f>
        <v>1954.2680000000007</v>
      </c>
      <c r="AX97" s="258">
        <f t="shared" si="330"/>
        <v>1882.8660000000004</v>
      </c>
      <c r="AY97" s="258">
        <f t="shared" si="330"/>
        <v>2568.7869999999994</v>
      </c>
      <c r="AZ97" s="258">
        <f t="shared" si="330"/>
        <v>2816.2599999999993</v>
      </c>
      <c r="BA97" s="258">
        <f t="shared" si="330"/>
        <v>2540.4550000000004</v>
      </c>
      <c r="BB97" s="258">
        <f t="shared" si="330"/>
        <v>1934.9379999999999</v>
      </c>
      <c r="BC97" s="258">
        <f t="shared" si="330"/>
        <v>1860.4140000000034</v>
      </c>
      <c r="BD97" s="258">
        <f t="shared" si="330"/>
        <v>2644.3839999999991</v>
      </c>
      <c r="BE97" s="258">
        <f t="shared" si="330"/>
        <v>2542.5850000000009</v>
      </c>
      <c r="BF97" s="258">
        <f t="shared" si="330"/>
        <v>3390.6420000000021</v>
      </c>
      <c r="BG97" s="258">
        <f t="shared" si="330"/>
        <v>3604.2100000000009</v>
      </c>
      <c r="BH97" s="258">
        <f t="shared" si="330"/>
        <v>5069.2450000000026</v>
      </c>
      <c r="BI97" s="258">
        <f t="shared" si="330"/>
        <v>5276.6129999999976</v>
      </c>
      <c r="BJ97" s="258">
        <f t="shared" si="330"/>
        <v>5251.8070000000007</v>
      </c>
      <c r="BK97" s="258">
        <f t="shared" si="330"/>
        <v>4156.0450000000019</v>
      </c>
      <c r="BL97" s="258">
        <f t="shared" si="330"/>
        <v>4088.3140000000003</v>
      </c>
      <c r="BM97" s="258">
        <f t="shared" si="330"/>
        <v>4597.7149999999983</v>
      </c>
      <c r="BN97" s="258">
        <f t="shared" si="330"/>
        <v>3544.1179999999986</v>
      </c>
      <c r="BO97" s="258">
        <f t="shared" si="330"/>
        <v>4329.050000000002</v>
      </c>
      <c r="BP97" s="258">
        <f t="shared" si="330"/>
        <v>4793.5649999999969</v>
      </c>
      <c r="BQ97" s="258">
        <f t="shared" si="330"/>
        <v>4066.6889989999936</v>
      </c>
      <c r="BR97" s="258">
        <f t="shared" si="330"/>
        <v>4214.2260000000024</v>
      </c>
      <c r="BS97" s="258">
        <f t="shared" si="330"/>
        <v>5141.858000000002</v>
      </c>
      <c r="BT97" s="258">
        <f t="shared" si="330"/>
        <v>6225.5680000000038</v>
      </c>
      <c r="BU97" s="258">
        <f t="shared" si="330"/>
        <v>4493.8679999999913</v>
      </c>
      <c r="BV97" s="258">
        <f t="shared" si="330"/>
        <v>4934.2500000000064</v>
      </c>
      <c r="BW97" s="258">
        <f t="shared" si="330"/>
        <v>7012.8450000000048</v>
      </c>
      <c r="BX97" s="258">
        <f t="shared" si="330"/>
        <v>7830.7630999999965</v>
      </c>
      <c r="BY97" s="258">
        <f>BY27</f>
        <v>7578.663999999997</v>
      </c>
      <c r="BZ97" s="258">
        <f>BZ27</f>
        <v>8110.0203523319233</v>
      </c>
      <c r="CA97" s="307">
        <f t="shared" si="330"/>
        <v>8123.1670267022782</v>
      </c>
      <c r="CB97" s="307">
        <f t="shared" si="330"/>
        <v>8152.9700020925811</v>
      </c>
      <c r="CC97" s="307">
        <f t="shared" si="330"/>
        <v>8178.6377071106981</v>
      </c>
      <c r="CD97" s="307">
        <f t="shared" si="330"/>
        <v>8261.5190713945194</v>
      </c>
    </row>
    <row r="98" spans="1:82" ht="13.5" customHeight="1">
      <c r="A98" s="260" t="s">
        <v>122</v>
      </c>
      <c r="B98" s="258">
        <f t="shared" ref="B98:AI98" si="331">-B65</f>
        <v>408.221</v>
      </c>
      <c r="C98" s="258">
        <f t="shared" si="331"/>
        <v>412.51600000000002</v>
      </c>
      <c r="D98" s="258">
        <f t="shared" si="331"/>
        <v>412.26299999999998</v>
      </c>
      <c r="E98" s="258">
        <f t="shared" si="331"/>
        <v>367.91899999999998</v>
      </c>
      <c r="F98" s="258">
        <f t="shared" si="331"/>
        <v>436.14299999999997</v>
      </c>
      <c r="G98" s="258">
        <f t="shared" si="331"/>
        <v>415.11200000000002</v>
      </c>
      <c r="H98" s="258">
        <f t="shared" si="331"/>
        <v>367.93599999999998</v>
      </c>
      <c r="I98" s="258">
        <f t="shared" si="331"/>
        <v>380.63299999999998</v>
      </c>
      <c r="J98" s="258">
        <f t="shared" si="331"/>
        <v>416</v>
      </c>
      <c r="K98" s="258">
        <f t="shared" si="331"/>
        <v>403</v>
      </c>
      <c r="L98" s="258">
        <f t="shared" si="331"/>
        <v>361</v>
      </c>
      <c r="M98" s="258">
        <f t="shared" si="331"/>
        <v>382.33799999999997</v>
      </c>
      <c r="N98" s="258">
        <f t="shared" si="331"/>
        <v>498</v>
      </c>
      <c r="O98" s="258">
        <f t="shared" si="331"/>
        <v>504.77099999999996</v>
      </c>
      <c r="P98" s="258">
        <f t="shared" si="331"/>
        <v>483.22900000000004</v>
      </c>
      <c r="Q98" s="258">
        <f t="shared" si="331"/>
        <v>459.45499999999998</v>
      </c>
      <c r="R98" s="258">
        <f t="shared" si="331"/>
        <v>512.78499999999997</v>
      </c>
      <c r="S98" s="258">
        <f t="shared" si="331"/>
        <v>511.46300000000008</v>
      </c>
      <c r="T98" s="258">
        <f t="shared" si="331"/>
        <v>485.13200000000001</v>
      </c>
      <c r="U98" s="258">
        <f t="shared" si="331"/>
        <v>443.95499999999998</v>
      </c>
      <c r="V98" s="258">
        <f t="shared" si="331"/>
        <v>501</v>
      </c>
      <c r="W98" s="258">
        <f t="shared" si="331"/>
        <v>486</v>
      </c>
      <c r="X98" s="258">
        <f t="shared" si="331"/>
        <v>497.41699999999992</v>
      </c>
      <c r="Y98" s="258">
        <f t="shared" si="331"/>
        <v>450.86399999999998</v>
      </c>
      <c r="Z98" s="258">
        <f t="shared" si="331"/>
        <v>509</v>
      </c>
      <c r="AA98" s="258">
        <f t="shared" si="331"/>
        <v>519</v>
      </c>
      <c r="AB98" s="258">
        <f t="shared" si="331"/>
        <v>503</v>
      </c>
      <c r="AC98" s="258">
        <f t="shared" si="331"/>
        <v>437.72600000000011</v>
      </c>
      <c r="AD98" s="258">
        <f t="shared" si="331"/>
        <v>482.959</v>
      </c>
      <c r="AE98" s="258">
        <f t="shared" si="331"/>
        <v>482.92199999999997</v>
      </c>
      <c r="AF98" s="258">
        <f t="shared" si="331"/>
        <v>486.11899999999997</v>
      </c>
      <c r="AG98" s="258">
        <f t="shared" si="331"/>
        <v>532.52</v>
      </c>
      <c r="AH98" s="258">
        <f t="shared" si="331"/>
        <v>494.13200000000001</v>
      </c>
      <c r="AI98" s="258">
        <f t="shared" si="331"/>
        <v>495.32099999999997</v>
      </c>
      <c r="AJ98" s="258">
        <f t="shared" ref="AJ98:AK98" si="332">-AJ65</f>
        <v>499.815</v>
      </c>
      <c r="AK98" s="258">
        <f t="shared" si="332"/>
        <v>558.40499999999997</v>
      </c>
      <c r="AL98" s="258">
        <f t="shared" ref="AL98:AN98" si="333">-AL65</f>
        <v>494.19</v>
      </c>
      <c r="AM98" s="258">
        <f t="shared" si="333"/>
        <v>522.58300000000008</v>
      </c>
      <c r="AN98" s="258">
        <f t="shared" si="333"/>
        <v>501.90399999999983</v>
      </c>
      <c r="AO98" s="258">
        <f t="shared" ref="AO98" si="334">-AO65</f>
        <v>497.92000000000013</v>
      </c>
      <c r="AP98" s="307">
        <f t="shared" ref="AP98:AS98" si="335">-AP65</f>
        <v>498.05660299808318</v>
      </c>
      <c r="AQ98" s="307">
        <f t="shared" si="335"/>
        <v>524.74897095991037</v>
      </c>
      <c r="AR98" s="307">
        <f t="shared" si="335"/>
        <v>495.78531879241024</v>
      </c>
      <c r="AS98" s="307">
        <f t="shared" si="335"/>
        <v>491.67429005274522</v>
      </c>
      <c r="AT98" s="264"/>
      <c r="AU98" s="307">
        <v>569.46815384759225</v>
      </c>
      <c r="AW98" s="258">
        <f t="shared" ref="AW98:CD98" si="336">-AW65</f>
        <v>612.14200000000005</v>
      </c>
      <c r="AX98" s="258">
        <f t="shared" si="336"/>
        <v>709.51700000000005</v>
      </c>
      <c r="AY98" s="258">
        <f t="shared" si="336"/>
        <v>811.74199999999996</v>
      </c>
      <c r="AZ98" s="258">
        <f t="shared" si="336"/>
        <v>835.99400000000003</v>
      </c>
      <c r="BA98" s="258">
        <f t="shared" si="336"/>
        <v>931.03099999999995</v>
      </c>
      <c r="BB98" s="258">
        <f t="shared" si="336"/>
        <v>1083.713</v>
      </c>
      <c r="BC98" s="258">
        <f t="shared" si="336"/>
        <v>1171.366</v>
      </c>
      <c r="BD98" s="258">
        <f t="shared" si="336"/>
        <v>1241.009</v>
      </c>
      <c r="BE98" s="258">
        <f t="shared" si="336"/>
        <v>1284.933</v>
      </c>
      <c r="BF98" s="258">
        <f t="shared" si="336"/>
        <v>1001.336</v>
      </c>
      <c r="BG98" s="258">
        <f t="shared" si="336"/>
        <v>1045.5050000000001</v>
      </c>
      <c r="BH98" s="258">
        <f t="shared" si="336"/>
        <v>1154.9929999999999</v>
      </c>
      <c r="BI98" s="258">
        <f t="shared" si="336"/>
        <v>1194.231</v>
      </c>
      <c r="BJ98" s="258">
        <f t="shared" si="336"/>
        <v>1189.5830000000001</v>
      </c>
      <c r="BK98" s="258">
        <f t="shared" si="336"/>
        <v>1343</v>
      </c>
      <c r="BL98" s="258">
        <f t="shared" si="336"/>
        <v>1498.4739999999999</v>
      </c>
      <c r="BM98" s="258">
        <f t="shared" si="336"/>
        <v>1516.913</v>
      </c>
      <c r="BN98" s="258">
        <f t="shared" si="336"/>
        <v>1616</v>
      </c>
      <c r="BO98" s="258">
        <f t="shared" si="336"/>
        <v>1664.7729999999999</v>
      </c>
      <c r="BP98" s="258">
        <f t="shared" si="336"/>
        <v>1600.9190000000001</v>
      </c>
      <c r="BQ98" s="258">
        <f t="shared" si="336"/>
        <v>380.63299999999998</v>
      </c>
      <c r="BR98" s="258">
        <f t="shared" si="336"/>
        <v>382.33799999999997</v>
      </c>
      <c r="BS98" s="258">
        <f t="shared" si="336"/>
        <v>459.45499999999998</v>
      </c>
      <c r="BT98" s="258">
        <f t="shared" si="336"/>
        <v>1953.335</v>
      </c>
      <c r="BU98" s="258">
        <f t="shared" si="336"/>
        <v>1935.2809999999999</v>
      </c>
      <c r="BV98" s="258">
        <f t="shared" si="336"/>
        <v>1968.7260000000001</v>
      </c>
      <c r="BW98" s="258">
        <f t="shared" si="336"/>
        <v>1984.52</v>
      </c>
      <c r="BX98" s="258">
        <f t="shared" si="336"/>
        <v>2047.673</v>
      </c>
      <c r="BY98" s="258">
        <f>-BY65</f>
        <v>2016.597</v>
      </c>
      <c r="BZ98" s="258">
        <f>-BZ65</f>
        <v>2010.2651828031489</v>
      </c>
      <c r="CA98" s="307">
        <f t="shared" si="336"/>
        <v>1995.2862403597649</v>
      </c>
      <c r="CB98" s="307">
        <f t="shared" si="336"/>
        <v>1998.2717399968112</v>
      </c>
      <c r="CC98" s="307">
        <f t="shared" si="336"/>
        <v>2005.1974102159861</v>
      </c>
      <c r="CD98" s="307">
        <f t="shared" si="336"/>
        <v>2015.7342027889047</v>
      </c>
    </row>
    <row r="99" spans="1:82" ht="13.5" customHeight="1">
      <c r="A99" s="260" t="s">
        <v>123</v>
      </c>
      <c r="B99" s="258" t="e">
        <f>-((B57+B61-B78-B84-B76)-(#REF!+#REF!-#REF!-#REF!-#REF!))</f>
        <v>#REF!</v>
      </c>
      <c r="C99" s="258">
        <f t="shared" ref="C99:AG99" si="337">-((C57+C61-C78-C84-C76)-(B57+B61-B78-B84-B76))</f>
        <v>-1332.6460000000006</v>
      </c>
      <c r="D99" s="258">
        <f t="shared" si="337"/>
        <v>-1543.8541000000005</v>
      </c>
      <c r="E99" s="258">
        <f t="shared" si="337"/>
        <v>-943.78700000000026</v>
      </c>
      <c r="F99" s="258">
        <f t="shared" si="337"/>
        <v>4158.4029999999993</v>
      </c>
      <c r="G99" s="258">
        <f t="shared" si="337"/>
        <v>-1900.959899999998</v>
      </c>
      <c r="H99" s="258">
        <f t="shared" si="337"/>
        <v>-1214.2219999999998</v>
      </c>
      <c r="I99" s="258">
        <f t="shared" si="337"/>
        <v>-1859.5960000000009</v>
      </c>
      <c r="J99" s="258">
        <f t="shared" si="337"/>
        <v>4670.0197999999982</v>
      </c>
      <c r="K99" s="258">
        <f t="shared" si="337"/>
        <v>-1391.4937999999975</v>
      </c>
      <c r="L99" s="258">
        <f t="shared" si="337"/>
        <v>-815.24400000000151</v>
      </c>
      <c r="M99" s="258">
        <f t="shared" si="337"/>
        <v>-1893.4461999999958</v>
      </c>
      <c r="N99" s="258">
        <f t="shared" si="337"/>
        <v>6529.9091999999991</v>
      </c>
      <c r="O99" s="258">
        <f t="shared" si="337"/>
        <v>-2032.0660000000007</v>
      </c>
      <c r="P99" s="258">
        <f t="shared" si="337"/>
        <v>-734.15599999999904</v>
      </c>
      <c r="Q99" s="258">
        <f t="shared" si="337"/>
        <v>-1570.0389999999989</v>
      </c>
      <c r="R99" s="258">
        <f t="shared" si="337"/>
        <v>5190.7599999999984</v>
      </c>
      <c r="S99" s="258">
        <f t="shared" si="337"/>
        <v>-980.01899999999841</v>
      </c>
      <c r="T99" s="258">
        <f t="shared" si="337"/>
        <v>-768.7670000000071</v>
      </c>
      <c r="U99" s="258">
        <f t="shared" si="337"/>
        <v>-2025.3729999999969</v>
      </c>
      <c r="V99" s="258">
        <f t="shared" si="337"/>
        <v>5174.7249999999958</v>
      </c>
      <c r="W99" s="258">
        <f t="shared" si="337"/>
        <v>-2693.6649999999991</v>
      </c>
      <c r="X99" s="258">
        <f t="shared" si="337"/>
        <v>-342.77099999999518</v>
      </c>
      <c r="Y99" s="258">
        <f t="shared" si="337"/>
        <v>-2108.1781000000037</v>
      </c>
      <c r="Z99" s="258">
        <f t="shared" si="337"/>
        <v>4162.9271000000035</v>
      </c>
      <c r="AA99" s="258">
        <f t="shared" si="337"/>
        <v>-194.71000000000276</v>
      </c>
      <c r="AB99" s="258">
        <f t="shared" si="337"/>
        <v>-1177.489999999998</v>
      </c>
      <c r="AC99" s="258">
        <f t="shared" si="337"/>
        <v>-2578.2769999999955</v>
      </c>
      <c r="AD99" s="258">
        <f t="shared" si="337"/>
        <v>4487.480999999997</v>
      </c>
      <c r="AE99" s="258">
        <f t="shared" si="337"/>
        <v>-1881.5871999999999</v>
      </c>
      <c r="AF99" s="258">
        <f t="shared" si="337"/>
        <v>-453.90180000000146</v>
      </c>
      <c r="AG99" s="258">
        <f t="shared" si="337"/>
        <v>-1906.4409999999998</v>
      </c>
      <c r="AH99" s="258">
        <f t="shared" ref="AH99:AJ99" si="338">-((AH57+AH61+AH59-AH78-AH84-AH76)-(AG57+AG61+AG59-AG78-AG84-AG76))</f>
        <v>4740.1699999999983</v>
      </c>
      <c r="AI99" s="258">
        <f t="shared" si="338"/>
        <v>-1380.1949999999961</v>
      </c>
      <c r="AJ99" s="258">
        <f t="shared" si="338"/>
        <v>-1296.4950000000008</v>
      </c>
      <c r="AK99" s="258">
        <f>-((AK57+AK61+AK59-AK78-AK84-AK76)-(AJ57+AJ61+AJ59-AJ78-AJ84-AJ76))</f>
        <v>-2392.3430000000008</v>
      </c>
      <c r="AL99" s="258">
        <f>-((AL57+AL61+AL59-AL78-AL84-AL76)-(AK57+AK61+AK59-AK78-AK84-AK76))</f>
        <v>6161.7069999999985</v>
      </c>
      <c r="AM99" s="258">
        <f t="shared" ref="AM99:AO99" si="339">-((AM57+AM61+AM59-AM78-AM84-AM76)-(AL57+AL61+AL59-AL78-AL84-AL76))</f>
        <v>-2157.5359999999982</v>
      </c>
      <c r="AN99" s="258">
        <f t="shared" si="339"/>
        <v>-1185.1099999999988</v>
      </c>
      <c r="AO99" s="258">
        <f t="shared" si="339"/>
        <v>-3295.889000000001</v>
      </c>
      <c r="AP99" s="307">
        <f t="shared" ref="AP99" si="340">-((AP57+AP61+AP59-AP78-AP84-AP76)-(AO57+AO61+AO59-AO78-AO84-AO76))</f>
        <v>6965.5810765377428</v>
      </c>
      <c r="AQ99" s="307">
        <f t="shared" ref="AQ99" si="341">-((AQ57+AQ61+AQ59-AQ78-AQ84-AQ76)-(AP57+AP61+AP59-AP78-AP84-AP76))</f>
        <v>-2222.2385228712619</v>
      </c>
      <c r="AR99" s="307">
        <f t="shared" ref="AR99" si="342">-((AR57+AR61+AR59-AR78-AR84-AR76)-(AQ57+AQ61+AQ59-AQ78-AQ84-AQ76))</f>
        <v>-1096.5659769000322</v>
      </c>
      <c r="AS99" s="307">
        <f t="shared" ref="AS99" si="343">-((AS57+AS61+AS59-AS78-AS84-AS76)-(AR57+AR61+AR59-AR78-AR84-AR76))</f>
        <v>-3778.0792175973684</v>
      </c>
      <c r="AT99" s="258"/>
      <c r="AU99" s="307">
        <v>-2816.4516215428284</v>
      </c>
      <c r="AV99" s="264"/>
      <c r="AW99" s="258" t="e">
        <f>-((AW57+AW61-AW78-AW84-AW76)-(A57+A61-A78-A84-A76))</f>
        <v>#VALUE!</v>
      </c>
      <c r="AX99" s="258">
        <f t="shared" ref="AX99:BW99" si="344">-((AX57+AX61-AX78-AX84-AX76)-(AW57+AW61-AW78-AW84-AW76))</f>
        <v>38.593999999999482</v>
      </c>
      <c r="AY99" s="258">
        <f t="shared" si="344"/>
        <v>167.4970000000003</v>
      </c>
      <c r="AZ99" s="258">
        <f t="shared" si="344"/>
        <v>-248.98999999999978</v>
      </c>
      <c r="BA99" s="258">
        <f t="shared" si="344"/>
        <v>-168.6110000000001</v>
      </c>
      <c r="BB99" s="258">
        <f t="shared" si="344"/>
        <v>74.837999999999965</v>
      </c>
      <c r="BC99" s="258">
        <f t="shared" si="344"/>
        <v>-105.39700000000039</v>
      </c>
      <c r="BD99" s="258">
        <f t="shared" si="344"/>
        <v>565.76900000000046</v>
      </c>
      <c r="BE99" s="258">
        <f t="shared" si="344"/>
        <v>949.47399999999902</v>
      </c>
      <c r="BF99" s="258">
        <f t="shared" si="344"/>
        <v>2427.6380000000013</v>
      </c>
      <c r="BG99" s="258">
        <f t="shared" si="344"/>
        <v>-83.838000000000648</v>
      </c>
      <c r="BH99" s="258">
        <f t="shared" si="344"/>
        <v>222.31100000000015</v>
      </c>
      <c r="BI99" s="258">
        <f t="shared" si="344"/>
        <v>3571.096</v>
      </c>
      <c r="BJ99" s="258">
        <f t="shared" si="344"/>
        <v>-3994.2809999999995</v>
      </c>
      <c r="BK99" s="258">
        <f t="shared" si="344"/>
        <v>-2215.4600000000009</v>
      </c>
      <c r="BL99" s="258">
        <f t="shared" si="344"/>
        <v>1705.208000000001</v>
      </c>
      <c r="BM99" s="258">
        <f t="shared" si="344"/>
        <v>1934.8539999999985</v>
      </c>
      <c r="BN99" s="258">
        <f t="shared" si="344"/>
        <v>-1013.5849999999991</v>
      </c>
      <c r="BO99" s="258">
        <f t="shared" si="344"/>
        <v>648.21300000000065</v>
      </c>
      <c r="BP99" s="258">
        <f t="shared" si="344"/>
        <v>-449.03710000000137</v>
      </c>
      <c r="BQ99" s="258">
        <f t="shared" si="344"/>
        <v>-816.37489999999934</v>
      </c>
      <c r="BR99" s="258">
        <f t="shared" si="344"/>
        <v>569.83580000000302</v>
      </c>
      <c r="BS99" s="258">
        <f t="shared" si="344"/>
        <v>2193.6482000000005</v>
      </c>
      <c r="BT99" s="258">
        <f t="shared" si="344"/>
        <v>1416.600999999996</v>
      </c>
      <c r="BU99" s="258">
        <f t="shared" si="344"/>
        <v>30.110899999997855</v>
      </c>
      <c r="BV99" s="258">
        <f t="shared" si="344"/>
        <v>212.4501000000073</v>
      </c>
      <c r="BW99" s="258">
        <f t="shared" si="344"/>
        <v>245.55099999999584</v>
      </c>
      <c r="BX99" s="258">
        <f>-((BX57+BX61-BX78-BX84-BX76)-(BW57+BW61-BW78-BW84-BW76))</f>
        <v>-244.71000000000004</v>
      </c>
      <c r="BY99" s="258">
        <f>-((BY57+BY61-BY78-BY84-BY76)-(BX57+BX61-BX78-BX84-BX76))</f>
        <v>-365.17899999999827</v>
      </c>
      <c r="BZ99" s="258">
        <f>-((BZ57+BZ61-BZ78-BZ84-BZ76)-(BY57+BY61-BY78-BY84-BY76))</f>
        <v>-23.571115830918643</v>
      </c>
      <c r="CA99" s="307">
        <f>-((CA57+CA61+CA59-CA78-CA84-CA76)-(BZ57+BZ61+BZ59-BZ78-BZ84-BZ76))</f>
        <v>79.056818631890565</v>
      </c>
      <c r="CB99" s="307">
        <f>-((CB57+CB61+CB59-CB78-CB84-CB76)-(CA57+CA61+CA59-CA78-CA84-CA76))</f>
        <v>56.903918113255713</v>
      </c>
      <c r="CC99" s="307">
        <f>-((CC57+CC61+CC59-CC78-CC84-CC76)-(CB57+CB61+CB59-CB78-CB84-CB76))</f>
        <v>60.90008790324282</v>
      </c>
      <c r="CD99" s="307">
        <f>-((CD57+CD61+CD59-CD78-CD84-CD76)-(CC57+CC61+CC59-CC78-CC84-CC76))</f>
        <v>64.834438218586001</v>
      </c>
    </row>
    <row r="100" spans="1:82" ht="13.5" customHeight="1">
      <c r="A100" s="260" t="s">
        <v>115</v>
      </c>
      <c r="B100" s="258">
        <f t="shared" ref="B100:AI100" si="345">-B26</f>
        <v>0</v>
      </c>
      <c r="C100" s="258">
        <f t="shared" si="345"/>
        <v>0</v>
      </c>
      <c r="D100" s="258">
        <f t="shared" si="345"/>
        <v>0</v>
      </c>
      <c r="E100" s="258">
        <f t="shared" si="345"/>
        <v>-4.3529999999999998</v>
      </c>
      <c r="F100" s="258">
        <f t="shared" si="345"/>
        <v>-10.31799900000007</v>
      </c>
      <c r="G100" s="258">
        <f t="shared" si="345"/>
        <v>5.258</v>
      </c>
      <c r="H100" s="258">
        <f t="shared" si="345"/>
        <v>-1.2190000000000001</v>
      </c>
      <c r="I100" s="258">
        <f t="shared" si="345"/>
        <v>-23.853999999999999</v>
      </c>
      <c r="J100" s="258">
        <f t="shared" si="345"/>
        <v>-3.3519999999999999</v>
      </c>
      <c r="K100" s="258">
        <f t="shared" si="345"/>
        <v>-1.3</v>
      </c>
      <c r="L100" s="258">
        <f t="shared" si="345"/>
        <v>-1.4910000000000001</v>
      </c>
      <c r="M100" s="258">
        <f t="shared" si="345"/>
        <v>0</v>
      </c>
      <c r="N100" s="258">
        <f t="shared" si="345"/>
        <v>4.2089999999999996</v>
      </c>
      <c r="O100" s="258">
        <f t="shared" si="345"/>
        <v>0</v>
      </c>
      <c r="P100" s="258">
        <f t="shared" si="345"/>
        <v>2.403</v>
      </c>
      <c r="Q100" s="258">
        <f t="shared" si="345"/>
        <v>0</v>
      </c>
      <c r="R100" s="258">
        <f t="shared" si="345"/>
        <v>-8.125</v>
      </c>
      <c r="S100" s="258">
        <f t="shared" si="345"/>
        <v>-69.897000000000006</v>
      </c>
      <c r="T100" s="258">
        <f t="shared" si="345"/>
        <v>-35.682000000000002</v>
      </c>
      <c r="U100" s="258">
        <f t="shared" si="345"/>
        <v>-30.879000000000001</v>
      </c>
      <c r="V100" s="258">
        <f t="shared" si="345"/>
        <v>-18.643999999999998</v>
      </c>
      <c r="W100" s="258">
        <f t="shared" si="345"/>
        <v>-6.1459999999999999</v>
      </c>
      <c r="X100" s="258">
        <f t="shared" si="345"/>
        <v>-4.7859999999999996</v>
      </c>
      <c r="Y100" s="258">
        <f t="shared" si="345"/>
        <v>-4.5540000000000003</v>
      </c>
      <c r="Z100" s="258">
        <f t="shared" si="345"/>
        <v>-1.7000000000000001E-2</v>
      </c>
      <c r="AA100" s="258">
        <f t="shared" si="345"/>
        <v>0.81</v>
      </c>
      <c r="AB100" s="258">
        <f t="shared" si="345"/>
        <v>-0.42399999999999999</v>
      </c>
      <c r="AC100" s="258">
        <f t="shared" si="345"/>
        <v>1.2170000000000001</v>
      </c>
      <c r="AD100" s="258">
        <f t="shared" si="345"/>
        <v>-1.7000000000000001E-2</v>
      </c>
      <c r="AE100" s="258">
        <f t="shared" si="345"/>
        <v>-1.7000000000000001E-2</v>
      </c>
      <c r="AF100" s="258">
        <f t="shared" si="345"/>
        <v>-1.7000000000000001E-2</v>
      </c>
      <c r="AG100" s="258">
        <f t="shared" si="345"/>
        <v>-1.7000000000000001E-2</v>
      </c>
      <c r="AH100" s="258">
        <f t="shared" si="345"/>
        <v>0</v>
      </c>
      <c r="AI100" s="258">
        <f t="shared" si="345"/>
        <v>0</v>
      </c>
      <c r="AJ100" s="258">
        <f t="shared" ref="AJ100:AK100" si="346">-AJ26</f>
        <v>0</v>
      </c>
      <c r="AK100" s="258">
        <f t="shared" si="346"/>
        <v>0</v>
      </c>
      <c r="AL100" s="258">
        <f t="shared" ref="AL100:AN100" si="347">-AL26</f>
        <v>0</v>
      </c>
      <c r="AM100" s="258">
        <f t="shared" si="347"/>
        <v>0</v>
      </c>
      <c r="AN100" s="258">
        <f t="shared" si="347"/>
        <v>0</v>
      </c>
      <c r="AO100" s="258">
        <f t="shared" ref="AO100" si="348">-AO26</f>
        <v>0</v>
      </c>
      <c r="AP100" s="307">
        <f t="shared" ref="AP100:AS100" si="349">-AP26</f>
        <v>0</v>
      </c>
      <c r="AQ100" s="307">
        <f t="shared" si="349"/>
        <v>0</v>
      </c>
      <c r="AR100" s="307">
        <f t="shared" si="349"/>
        <v>0</v>
      </c>
      <c r="AS100" s="307">
        <f t="shared" si="349"/>
        <v>0</v>
      </c>
      <c r="AT100" s="264"/>
      <c r="AU100" s="307">
        <v>0</v>
      </c>
      <c r="AW100" s="258">
        <f t="shared" ref="AW100:CD100" si="350">-AW26</f>
        <v>0</v>
      </c>
      <c r="AX100" s="258">
        <f t="shared" si="350"/>
        <v>0</v>
      </c>
      <c r="AY100" s="258">
        <f t="shared" si="350"/>
        <v>0</v>
      </c>
      <c r="AZ100" s="258">
        <f t="shared" si="350"/>
        <v>0</v>
      </c>
      <c r="BA100" s="258">
        <f t="shared" si="350"/>
        <v>0</v>
      </c>
      <c r="BB100" s="258">
        <f t="shared" si="350"/>
        <v>0</v>
      </c>
      <c r="BC100" s="258">
        <f t="shared" si="350"/>
        <v>0</v>
      </c>
      <c r="BD100" s="258">
        <f t="shared" si="350"/>
        <v>0</v>
      </c>
      <c r="BE100" s="258">
        <f t="shared" si="350"/>
        <v>0</v>
      </c>
      <c r="BF100" s="258">
        <f t="shared" si="350"/>
        <v>0</v>
      </c>
      <c r="BG100" s="258">
        <f t="shared" si="350"/>
        <v>0</v>
      </c>
      <c r="BH100" s="258">
        <f t="shared" si="350"/>
        <v>0</v>
      </c>
      <c r="BI100" s="258">
        <f t="shared" si="350"/>
        <v>0</v>
      </c>
      <c r="BJ100" s="258">
        <f t="shared" si="350"/>
        <v>0</v>
      </c>
      <c r="BK100" s="258">
        <f t="shared" si="350"/>
        <v>0</v>
      </c>
      <c r="BL100" s="258">
        <f t="shared" si="350"/>
        <v>0</v>
      </c>
      <c r="BM100" s="258">
        <f t="shared" si="350"/>
        <v>0</v>
      </c>
      <c r="BN100" s="258">
        <f t="shared" si="350"/>
        <v>0</v>
      </c>
      <c r="BO100" s="258">
        <f t="shared" si="350"/>
        <v>0</v>
      </c>
      <c r="BP100" s="258">
        <f t="shared" si="350"/>
        <v>-4.3529999999999998</v>
      </c>
      <c r="BQ100" s="258">
        <f t="shared" si="350"/>
        <v>-30.132999000000069</v>
      </c>
      <c r="BR100" s="258">
        <f t="shared" si="350"/>
        <v>-6.1430000000000007</v>
      </c>
      <c r="BS100" s="258">
        <f t="shared" si="350"/>
        <v>6.6120000000000001</v>
      </c>
      <c r="BT100" s="258">
        <f t="shared" si="350"/>
        <v>-144.583</v>
      </c>
      <c r="BU100" s="258">
        <f t="shared" si="350"/>
        <v>-34.130000000000003</v>
      </c>
      <c r="BV100" s="258">
        <f t="shared" si="350"/>
        <v>1.5860000000000001</v>
      </c>
      <c r="BW100" s="258">
        <f t="shared" si="350"/>
        <v>-6.8000000000000005E-2</v>
      </c>
      <c r="BX100" s="258">
        <f t="shared" si="350"/>
        <v>0</v>
      </c>
      <c r="BY100" s="258">
        <f>-BY26</f>
        <v>0</v>
      </c>
      <c r="BZ100" s="258">
        <f>-BZ26</f>
        <v>0</v>
      </c>
      <c r="CA100" s="307">
        <f t="shared" si="350"/>
        <v>0</v>
      </c>
      <c r="CB100" s="307">
        <f t="shared" si="350"/>
        <v>0</v>
      </c>
      <c r="CC100" s="307">
        <f t="shared" si="350"/>
        <v>0</v>
      </c>
      <c r="CD100" s="307">
        <f t="shared" si="350"/>
        <v>0</v>
      </c>
    </row>
    <row r="101" spans="1:82" ht="13.5" customHeight="1">
      <c r="A101" s="260" t="s">
        <v>124</v>
      </c>
      <c r="B101" s="258" t="e">
        <f>+B102-SUM(B97:B100)</f>
        <v>#REF!</v>
      </c>
      <c r="C101" s="258">
        <f>+C102-SUM(C97:C100)</f>
        <v>752.42800000000159</v>
      </c>
      <c r="D101" s="258">
        <f>+D102-SUM(D97:D100)</f>
        <v>-1191.5758999999998</v>
      </c>
      <c r="E101" s="258">
        <f>+E102-SUM(E97:E100)</f>
        <v>2156.2430000000008</v>
      </c>
      <c r="F101" s="258">
        <f t="shared" ref="F101:K101" si="351">+F102-SUM(F97:F100)</f>
        <v>-4725.1459999999997</v>
      </c>
      <c r="G101" s="258">
        <f t="shared" si="351"/>
        <v>1333.2208999999975</v>
      </c>
      <c r="H101" s="258">
        <f t="shared" si="351"/>
        <v>1723.7449999999997</v>
      </c>
      <c r="I101" s="258">
        <f>+I102-SUM(I97:I100)</f>
        <v>2403.6580000000008</v>
      </c>
      <c r="J101" s="258">
        <f t="shared" si="351"/>
        <v>-4680.3307999999979</v>
      </c>
      <c r="K101" s="258">
        <f t="shared" si="351"/>
        <v>1089.7597999999978</v>
      </c>
      <c r="L101" s="258">
        <f t="shared" ref="L101:AI101" si="352">+L102-SUM(L97:L100)</f>
        <v>3264.8150000000023</v>
      </c>
      <c r="M101" s="258">
        <f t="shared" si="352"/>
        <v>939.29319999999461</v>
      </c>
      <c r="N101" s="258">
        <f t="shared" si="352"/>
        <v>-5907.5501999999988</v>
      </c>
      <c r="O101" s="258">
        <f t="shared" si="352"/>
        <v>2312.2370000000005</v>
      </c>
      <c r="P101" s="258">
        <f t="shared" si="352"/>
        <v>1292.0949999999993</v>
      </c>
      <c r="Q101" s="258">
        <f t="shared" si="352"/>
        <v>2877.7559999999999</v>
      </c>
      <c r="R101" s="258">
        <f t="shared" si="352"/>
        <v>-4556.2909999999974</v>
      </c>
      <c r="S101" s="258">
        <f t="shared" si="352"/>
        <v>1451.6139999999978</v>
      </c>
      <c r="T101" s="258">
        <f t="shared" si="352"/>
        <v>1246.2840000000069</v>
      </c>
      <c r="U101" s="258">
        <f t="shared" si="352"/>
        <v>2741.2329999999965</v>
      </c>
      <c r="V101" s="258">
        <f t="shared" si="352"/>
        <v>-5396.068999999995</v>
      </c>
      <c r="W101" s="258">
        <f t="shared" si="352"/>
        <v>1709.377999999999</v>
      </c>
      <c r="X101" s="258">
        <f t="shared" si="352"/>
        <v>1633.4879999999962</v>
      </c>
      <c r="Y101" s="258">
        <f t="shared" si="352"/>
        <v>2425.7341000000042</v>
      </c>
      <c r="Z101" s="258">
        <f t="shared" si="352"/>
        <v>-4211.9791000000041</v>
      </c>
      <c r="AA101" s="258">
        <f t="shared" si="352"/>
        <v>870.81100000000333</v>
      </c>
      <c r="AB101" s="258">
        <f t="shared" si="352"/>
        <v>1770.7369999999987</v>
      </c>
      <c r="AC101" s="258">
        <f t="shared" si="352"/>
        <v>2772.3589999999949</v>
      </c>
      <c r="AD101" s="258">
        <f t="shared" si="352"/>
        <v>-4052.7829999999972</v>
      </c>
      <c r="AE101" s="258">
        <f t="shared" si="352"/>
        <v>2754.4031999999993</v>
      </c>
      <c r="AF101" s="258">
        <f t="shared" si="352"/>
        <v>1905.3698000000006</v>
      </c>
      <c r="AG101" s="258">
        <f t="shared" si="352"/>
        <v>2910.1869999999999</v>
      </c>
      <c r="AH101" s="258">
        <f t="shared" si="352"/>
        <v>-4636.5969999999979</v>
      </c>
      <c r="AI101" s="258">
        <f t="shared" si="352"/>
        <v>763.82599999999638</v>
      </c>
      <c r="AJ101" s="258">
        <f>+AJ102-SUM(AJ97:AJ100)</f>
        <v>2112.3489000000004</v>
      </c>
      <c r="AK101" s="258">
        <f>+AK102-SUM(AK97:AK100)</f>
        <v>2812.148000000001</v>
      </c>
      <c r="AL101" s="258">
        <f>+AL102-SUM(AL97:AL100)</f>
        <v>-6944.7079999999987</v>
      </c>
      <c r="AM101" s="258">
        <f t="shared" ref="AM101:AN101" si="353">+AM102-SUM(AM97:AM100)</f>
        <v>1800.7259999999978</v>
      </c>
      <c r="AN101" s="258">
        <f t="shared" si="353"/>
        <v>2399.0879999999979</v>
      </c>
      <c r="AO101" s="258">
        <f t="shared" ref="AO101" si="354">+AO102-SUM(AO97:AO100)</f>
        <v>3438.5480000000011</v>
      </c>
      <c r="AP101" s="307"/>
      <c r="AQ101" s="307"/>
      <c r="AR101" s="307"/>
      <c r="AS101" s="307"/>
      <c r="AT101" s="258"/>
      <c r="AU101" s="307"/>
      <c r="AW101" s="258" t="e">
        <f t="shared" ref="AW101:BO101" si="355">+AW102-SUM(AW97:AW100)</f>
        <v>#VALUE!</v>
      </c>
      <c r="AX101" s="258">
        <f t="shared" si="355"/>
        <v>169.50099999999975</v>
      </c>
      <c r="AY101" s="258">
        <f t="shared" si="355"/>
        <v>200.92600000000039</v>
      </c>
      <c r="AZ101" s="258">
        <f t="shared" si="355"/>
        <v>119.93000000000029</v>
      </c>
      <c r="BA101" s="258">
        <f t="shared" si="355"/>
        <v>454.2510000000002</v>
      </c>
      <c r="BB101" s="258">
        <f t="shared" si="355"/>
        <v>445.28300000000036</v>
      </c>
      <c r="BC101" s="258">
        <f t="shared" si="355"/>
        <v>-51.082000000003063</v>
      </c>
      <c r="BD101" s="258">
        <f t="shared" si="355"/>
        <v>-124.71299999999974</v>
      </c>
      <c r="BE101" s="258">
        <f t="shared" si="355"/>
        <v>-896.14300000000003</v>
      </c>
      <c r="BF101" s="258">
        <f t="shared" si="355"/>
        <v>-2748.3460000000036</v>
      </c>
      <c r="BG101" s="258">
        <f t="shared" si="355"/>
        <v>909.09299999999985</v>
      </c>
      <c r="BH101" s="258">
        <f t="shared" si="355"/>
        <v>-1228.2660000000024</v>
      </c>
      <c r="BI101" s="258">
        <f t="shared" si="355"/>
        <v>-3397.9009999999971</v>
      </c>
      <c r="BJ101" s="258">
        <f t="shared" si="355"/>
        <v>2413.1609999999987</v>
      </c>
      <c r="BK101" s="258">
        <f t="shared" si="355"/>
        <v>1385.8989999999994</v>
      </c>
      <c r="BL101" s="258">
        <f t="shared" si="355"/>
        <v>-363.34200000000055</v>
      </c>
      <c r="BM101" s="258">
        <f t="shared" si="355"/>
        <v>-547.81799999999748</v>
      </c>
      <c r="BN101" s="258">
        <f t="shared" si="355"/>
        <v>1318.1180000000004</v>
      </c>
      <c r="BO101" s="258">
        <f t="shared" si="355"/>
        <v>661.35599999999704</v>
      </c>
      <c r="BP101" s="258">
        <f t="shared" ref="BP101:BU101" si="356">+BP102-SUM(BP97:BP100)</f>
        <v>718.29010000000471</v>
      </c>
      <c r="BQ101" s="258">
        <f t="shared" si="356"/>
        <v>1925.2829000000056</v>
      </c>
      <c r="BR101" s="258">
        <f t="shared" si="356"/>
        <v>1793.5371999999952</v>
      </c>
      <c r="BS101" s="258">
        <f t="shared" si="356"/>
        <v>2060.5377999999982</v>
      </c>
      <c r="BT101" s="258">
        <f t="shared" si="356"/>
        <v>882.84000000000015</v>
      </c>
      <c r="BU101" s="258">
        <f t="shared" si="356"/>
        <v>372.53110000001107</v>
      </c>
      <c r="BV101" s="258">
        <f>+BV102-SUM(BV97:BV100)</f>
        <v>1201.9278999999869</v>
      </c>
      <c r="BW101" s="258">
        <f>+BW102-SUM(BW97:BW100)</f>
        <v>3517.1769999999979</v>
      </c>
      <c r="BX101" s="258">
        <f>+BX102-SUM(BX97:BX100)</f>
        <v>967.57290000000467</v>
      </c>
      <c r="BY101" s="258">
        <f>+BY102-SUM(BY97:BY100)</f>
        <v>582.00500000000102</v>
      </c>
      <c r="BZ101" s="258">
        <f>+BZ102-SUM(BZ97:BZ100)</f>
        <v>-107.73152500000106</v>
      </c>
      <c r="CA101" s="307"/>
      <c r="CB101" s="307"/>
      <c r="CC101" s="307"/>
      <c r="CD101" s="307"/>
    </row>
    <row r="102" spans="1:82" s="367" customFormat="1" ht="13.5" customHeight="1">
      <c r="A102" s="365" t="s">
        <v>125</v>
      </c>
      <c r="B102" s="368">
        <v>1302.347</v>
      </c>
      <c r="C102" s="368">
        <v>1010.353</v>
      </c>
      <c r="D102" s="368">
        <v>-1010.353</v>
      </c>
      <c r="E102" s="368">
        <v>2768.9229999999998</v>
      </c>
      <c r="F102" s="368">
        <v>954</v>
      </c>
      <c r="G102" s="368">
        <f>1820-F102</f>
        <v>866</v>
      </c>
      <c r="H102" s="368">
        <f>3550.713-G102-F102</f>
        <v>1730.7130000000002</v>
      </c>
      <c r="I102" s="368">
        <f>5526.097-H102-G102-F102</f>
        <v>1975.3839999999996</v>
      </c>
      <c r="J102" s="368">
        <v>1609</v>
      </c>
      <c r="K102" s="368">
        <f>2803.578-J102</f>
        <v>1194.578</v>
      </c>
      <c r="L102" s="368">
        <f>6519.859-K102-J102</f>
        <v>3716.2810000000009</v>
      </c>
      <c r="M102" s="368">
        <f>6953.794-L102-K102-J102</f>
        <v>433.93499999999904</v>
      </c>
      <c r="N102" s="368">
        <v>2277</v>
      </c>
      <c r="O102" s="368">
        <f>4369-N102</f>
        <v>2092</v>
      </c>
      <c r="P102" s="368">
        <f>4369-O102</f>
        <v>2277</v>
      </c>
      <c r="Q102" s="368">
        <f>9862.111-P102-O102-N102</f>
        <v>3216.1110000000008</v>
      </c>
      <c r="R102" s="368">
        <v>2667</v>
      </c>
      <c r="S102" s="368">
        <f>5319.356-R102</f>
        <v>2652.3559999999998</v>
      </c>
      <c r="T102" s="368">
        <f>7594.274-S102-R102</f>
        <v>2274.9180000000006</v>
      </c>
      <c r="U102" s="368">
        <f>10333.761-T102-S102-R102</f>
        <v>2739.4870000000001</v>
      </c>
      <c r="V102" s="368">
        <v>1863.21</v>
      </c>
      <c r="W102" s="368">
        <f>2581-V102</f>
        <v>717.79</v>
      </c>
      <c r="X102" s="368">
        <f>5243.309-W102-V102</f>
        <v>2662.3090000000002</v>
      </c>
      <c r="Y102" s="368">
        <f>6797.661-X102-W102-V102</f>
        <v>1554.3519999999999</v>
      </c>
      <c r="Z102" s="368">
        <v>1551.2280000000001</v>
      </c>
      <c r="AA102" s="368">
        <f>3922.556-Z102</f>
        <v>2371.328</v>
      </c>
      <c r="AB102" s="368">
        <f>6263.363-AA102-Z102</f>
        <v>2340.8070000000002</v>
      </c>
      <c r="AC102" s="368">
        <f>8318.94-SUM(Z102:AB102)</f>
        <v>2055.5770000000002</v>
      </c>
      <c r="AD102" s="368">
        <v>2530.0650000000001</v>
      </c>
      <c r="AE102" s="368">
        <f>5685.113-AD102</f>
        <v>3155.0480000000002</v>
      </c>
      <c r="AF102" s="368">
        <f>9293.47-AE102-AD102</f>
        <v>3608.3569999999986</v>
      </c>
      <c r="AG102" s="368">
        <f>12760.025-AF102-AE102-AD102</f>
        <v>3466.5550000000007</v>
      </c>
      <c r="AH102" s="368">
        <v>2679.268</v>
      </c>
      <c r="AI102" s="368">
        <f>4691.56-AH102</f>
        <v>2012.2920000000004</v>
      </c>
      <c r="AJ102" s="368">
        <f>7831.578-AI102-AH102</f>
        <v>3140.018</v>
      </c>
      <c r="AK102" s="368">
        <f>10601.299-AJ102-AI102-AH102</f>
        <v>2769.7210000000005</v>
      </c>
      <c r="AL102" s="368">
        <v>1550.498</v>
      </c>
      <c r="AM102" s="368">
        <f>3582.386-AL102</f>
        <v>2031.8879999999999</v>
      </c>
      <c r="AN102" s="368">
        <f>6976.119-AM102-AL102</f>
        <v>3393.7329999999997</v>
      </c>
      <c r="AO102" s="368">
        <f>9812.087-AN102-AM102-AL102</f>
        <v>2835.9679999999994</v>
      </c>
      <c r="AP102" s="366">
        <f t="shared" ref="AP102:AS102" si="357">SUM(AP97:AP100)</f>
        <v>9437.7181407755033</v>
      </c>
      <c r="AQ102" s="366">
        <f t="shared" si="357"/>
        <v>444.33546938461814</v>
      </c>
      <c r="AR102" s="366">
        <f t="shared" si="357"/>
        <v>1253.4057083872549</v>
      </c>
      <c r="AS102" s="366">
        <f t="shared" si="357"/>
        <v>-1146.4764242432225</v>
      </c>
      <c r="AT102" s="369"/>
      <c r="AU102" s="366">
        <v>-326.33998896098728</v>
      </c>
      <c r="AW102" s="368">
        <v>2323.7930000000001</v>
      </c>
      <c r="AX102" s="368">
        <v>2800.4780000000001</v>
      </c>
      <c r="AY102" s="368">
        <v>3748.9520000000002</v>
      </c>
      <c r="AZ102" s="368">
        <v>3523.194</v>
      </c>
      <c r="BA102" s="368">
        <v>3757.1260000000002</v>
      </c>
      <c r="BB102" s="368">
        <v>3538.7719999999999</v>
      </c>
      <c r="BC102" s="368">
        <v>2875.3009999999999</v>
      </c>
      <c r="BD102" s="368">
        <v>4326.4489999999996</v>
      </c>
      <c r="BE102" s="368">
        <v>3880.8490000000002</v>
      </c>
      <c r="BF102" s="368">
        <v>4071.27</v>
      </c>
      <c r="BG102" s="368">
        <v>5474.97</v>
      </c>
      <c r="BH102" s="368">
        <v>5218.2830000000004</v>
      </c>
      <c r="BI102" s="368">
        <v>6644.0389999999998</v>
      </c>
      <c r="BJ102" s="368">
        <v>4860.2700000000004</v>
      </c>
      <c r="BK102" s="368">
        <v>4669.4840000000004</v>
      </c>
      <c r="BL102" s="368">
        <v>6928.6540000000005</v>
      </c>
      <c r="BM102" s="368">
        <v>7501.6639999999998</v>
      </c>
      <c r="BN102" s="368">
        <v>5464.6509999999998</v>
      </c>
      <c r="BO102" s="368">
        <v>7303.3919999999998</v>
      </c>
      <c r="BP102" s="368">
        <v>6659.384</v>
      </c>
      <c r="BQ102" s="368">
        <f t="shared" ref="BQ102:BV102" si="358">+SUMIFS($B102:$AK102,$B$1:$AK$1,"="&amp;BQ$1)</f>
        <v>5526.0969999999998</v>
      </c>
      <c r="BR102" s="368">
        <f t="shared" si="358"/>
        <v>6953.7939999999999</v>
      </c>
      <c r="BS102" s="368">
        <f t="shared" si="358"/>
        <v>9862.1110000000008</v>
      </c>
      <c r="BT102" s="368">
        <f t="shared" si="358"/>
        <v>10333.761</v>
      </c>
      <c r="BU102" s="368">
        <f t="shared" si="358"/>
        <v>6797.6610000000001</v>
      </c>
      <c r="BV102" s="368">
        <f t="shared" si="358"/>
        <v>8318.94</v>
      </c>
      <c r="BW102" s="368">
        <f>+SUMIFS($B102:$AK102,$B$1:$AK$1,"="&amp;BW$1)</f>
        <v>12760.025</v>
      </c>
      <c r="BX102" s="368">
        <f>+SUMIFS($B102:$AO102,$B$1:$AO$1,"="&amp;BX$1)</f>
        <v>10601.299000000001</v>
      </c>
      <c r="BY102" s="368">
        <f>+SUMIFS($B102:$AS102,$B$1:$AS$1,"="&amp;BY$1)</f>
        <v>9812.0869999999995</v>
      </c>
      <c r="BZ102" s="368">
        <f>+SUMIFS($B102:$AS102,$B$1:$AS$1,"="&amp;BZ$1)</f>
        <v>9988.9828943041521</v>
      </c>
      <c r="CA102" s="366">
        <f>SUM(CA97:CA100)</f>
        <v>10197.510085693933</v>
      </c>
      <c r="CB102" s="366">
        <f>SUM(CB97:CB100)</f>
        <v>10208.145660202648</v>
      </c>
      <c r="CC102" s="366">
        <f>SUM(CC97:CC100)</f>
        <v>10244.735205229927</v>
      </c>
      <c r="CD102" s="366">
        <f>SUM(CD97:CD100)</f>
        <v>10342.08771240201</v>
      </c>
    </row>
    <row r="103" spans="1:82" ht="13.5" customHeight="1">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c r="AA103" s="246"/>
      <c r="AB103" s="246"/>
      <c r="AC103" s="246"/>
      <c r="AD103" s="246"/>
      <c r="AE103" s="246"/>
      <c r="AF103" s="246"/>
      <c r="AG103" s="246"/>
      <c r="AH103" s="246"/>
      <c r="AI103" s="246"/>
      <c r="AJ103" s="246"/>
      <c r="AK103" s="246"/>
      <c r="AL103" s="246"/>
      <c r="AM103" s="246"/>
      <c r="AN103" s="246"/>
      <c r="AO103" s="246"/>
      <c r="AP103" s="290"/>
      <c r="AQ103" s="290"/>
      <c r="AR103" s="290"/>
      <c r="AS103" s="290"/>
      <c r="AU103" s="290"/>
      <c r="AW103" s="246"/>
      <c r="AX103" s="246"/>
      <c r="AY103" s="246"/>
      <c r="AZ103" s="246"/>
      <c r="BA103" s="246"/>
      <c r="BB103" s="246"/>
      <c r="BC103" s="246"/>
      <c r="BD103" s="246"/>
      <c r="BE103" s="246"/>
      <c r="BF103" s="246"/>
      <c r="BG103" s="246"/>
      <c r="BH103" s="246"/>
      <c r="BI103" s="246"/>
      <c r="BJ103" s="246"/>
      <c r="BK103" s="246"/>
      <c r="BL103" s="246"/>
      <c r="BM103" s="246"/>
      <c r="BN103" s="246"/>
      <c r="BO103" s="246"/>
      <c r="BP103" s="246"/>
      <c r="BQ103" s="246"/>
      <c r="BR103" s="246"/>
      <c r="BS103" s="246"/>
      <c r="BT103" s="246"/>
      <c r="BU103" s="246"/>
      <c r="BV103" s="246"/>
      <c r="BW103" s="246"/>
      <c r="BX103" s="246"/>
      <c r="BY103" s="246"/>
      <c r="BZ103" s="246"/>
      <c r="CA103" s="290"/>
      <c r="CB103" s="290"/>
      <c r="CC103" s="290"/>
      <c r="CD103" s="290"/>
    </row>
    <row r="104" spans="1:82" ht="13.5" customHeight="1">
      <c r="A104" s="260" t="s">
        <v>126</v>
      </c>
      <c r="B104" s="267"/>
      <c r="C104" s="267"/>
      <c r="D104" s="267"/>
      <c r="E104" s="267"/>
      <c r="F104" s="267"/>
      <c r="G104" s="267"/>
      <c r="H104" s="267"/>
      <c r="I104" s="267"/>
      <c r="J104" s="267"/>
      <c r="K104" s="267"/>
      <c r="L104" s="267"/>
      <c r="M104" s="267"/>
      <c r="N104" s="267"/>
      <c r="O104" s="267"/>
      <c r="P104" s="267"/>
      <c r="Q104" s="267"/>
      <c r="R104" s="267"/>
      <c r="S104" s="267"/>
      <c r="T104" s="267"/>
      <c r="U104" s="267"/>
      <c r="V104" s="267"/>
      <c r="W104" s="267"/>
      <c r="X104" s="267"/>
      <c r="Y104" s="267"/>
      <c r="Z104" s="267"/>
      <c r="AA104" s="267"/>
      <c r="AB104" s="267"/>
      <c r="AC104" s="267"/>
      <c r="AD104" s="267"/>
      <c r="AE104" s="267"/>
      <c r="AF104" s="267"/>
      <c r="AG104" s="267"/>
      <c r="AH104" s="267"/>
      <c r="AI104" s="267"/>
      <c r="AJ104" s="414">
        <f>+AJ106-AJ105</f>
        <v>-9.06899999999996</v>
      </c>
      <c r="AK104" s="414">
        <f>+AK106-AK105</f>
        <v>1212.867</v>
      </c>
      <c r="AL104" s="414">
        <f>+AL106-AL105</f>
        <v>245.73000000000008</v>
      </c>
      <c r="AM104" s="414">
        <f t="shared" ref="AM104:AO104" si="359">+AM106-AM105</f>
        <v>119.46499999999986</v>
      </c>
      <c r="AN104" s="414">
        <f t="shared" si="359"/>
        <v>98.756000000000029</v>
      </c>
      <c r="AO104" s="414">
        <f t="shared" si="359"/>
        <v>154.27699999999999</v>
      </c>
      <c r="AP104" s="309"/>
      <c r="AQ104" s="309"/>
      <c r="AR104" s="309"/>
      <c r="AS104" s="309"/>
      <c r="AU104" s="309"/>
      <c r="AW104" s="267"/>
      <c r="AX104" s="267"/>
      <c r="AY104" s="267"/>
      <c r="AZ104" s="267"/>
      <c r="BA104" s="267"/>
      <c r="BB104" s="267"/>
      <c r="BC104" s="267"/>
      <c r="BD104" s="267"/>
      <c r="BE104" s="267"/>
      <c r="BF104" s="267"/>
      <c r="BG104" s="267"/>
      <c r="BH104" s="267"/>
      <c r="BI104" s="267"/>
      <c r="BJ104" s="267"/>
      <c r="BK104" s="267"/>
      <c r="BL104" s="267"/>
      <c r="BM104" s="267"/>
      <c r="BN104" s="267"/>
      <c r="BO104" s="267"/>
      <c r="BP104" s="267"/>
      <c r="BQ104" s="267"/>
      <c r="BR104" s="267"/>
      <c r="BS104" s="267"/>
      <c r="BT104" s="267"/>
      <c r="BU104" s="267"/>
      <c r="BV104" s="267"/>
      <c r="BW104" s="267"/>
      <c r="BX104" s="267">
        <v>0</v>
      </c>
      <c r="BY104" s="267">
        <v>0</v>
      </c>
      <c r="BZ104" s="267">
        <v>0</v>
      </c>
      <c r="CA104" s="309">
        <v>0</v>
      </c>
      <c r="CB104" s="309">
        <v>0</v>
      </c>
      <c r="CC104" s="309">
        <v>0</v>
      </c>
      <c r="CD104" s="309">
        <v>0</v>
      </c>
    </row>
    <row r="105" spans="1:82" ht="13.5" customHeight="1">
      <c r="A105" s="260" t="s">
        <v>127</v>
      </c>
      <c r="B105" s="268">
        <v>184.01900000000001</v>
      </c>
      <c r="C105" s="268">
        <v>274.28300000000002</v>
      </c>
      <c r="D105" s="268">
        <v>-274.28300000000002</v>
      </c>
      <c r="E105" s="268">
        <v>-3133.5219999999999</v>
      </c>
      <c r="F105" s="268">
        <v>-676</v>
      </c>
      <c r="G105" s="268">
        <f>-1460-F105</f>
        <v>-784</v>
      </c>
      <c r="H105" s="268">
        <f>-1952.904-G105-F105</f>
        <v>-492.904</v>
      </c>
      <c r="I105" s="268">
        <f>-2577.711-H105-G105-F105</f>
        <v>-624.80699999999979</v>
      </c>
      <c r="J105" s="268">
        <v>-492</v>
      </c>
      <c r="K105" s="268">
        <f>-1102.895-J105</f>
        <v>-610.89499999999998</v>
      </c>
      <c r="L105" s="268">
        <f>-1478.277-K105-J105</f>
        <v>-375.38200000000006</v>
      </c>
      <c r="M105" s="268">
        <f>-1792.043-L105-K105-J105</f>
        <v>-313.76599999999985</v>
      </c>
      <c r="N105" s="268">
        <v>-167</v>
      </c>
      <c r="O105" s="268">
        <f>-424-N105</f>
        <v>-257</v>
      </c>
      <c r="P105" s="268">
        <f>-583.522-O105-N105</f>
        <v>-159.52200000000005</v>
      </c>
      <c r="Q105" s="268">
        <f>-771.988-P105-O105-N105</f>
        <v>-188.46600000000001</v>
      </c>
      <c r="R105" s="268">
        <v>-150</v>
      </c>
      <c r="S105" s="268">
        <f>-366.743-R105</f>
        <v>-216.74299999999999</v>
      </c>
      <c r="T105" s="268">
        <f>-455.006-S105-R105</f>
        <v>-88.262999999999977</v>
      </c>
      <c r="U105" s="268">
        <f>-795.281-T105-S105-R105</f>
        <v>-340.27500000000003</v>
      </c>
      <c r="V105" s="268">
        <v>-457.55549999999999</v>
      </c>
      <c r="W105" s="268">
        <f>-813-V105</f>
        <v>-355.44450000000001</v>
      </c>
      <c r="X105" s="268">
        <f>-1522.958-W105-V105</f>
        <v>-709.95800000000008</v>
      </c>
      <c r="Y105" s="268">
        <f>-2150.474-X105-W105-V105</f>
        <v>-627.51600000000008</v>
      </c>
      <c r="Z105" s="268">
        <v>-564.30999999999995</v>
      </c>
      <c r="AA105" s="268">
        <f>-1175.814-Z105</f>
        <v>-611.50400000000013</v>
      </c>
      <c r="AB105" s="268">
        <f>-1644.177-AA105-Z105</f>
        <v>-468.36299999999983</v>
      </c>
      <c r="AC105" s="268">
        <f>-2141.436-SUM(Z105:AB105)</f>
        <v>-497.25900000000024</v>
      </c>
      <c r="AD105" s="268">
        <v>-350.29199999999997</v>
      </c>
      <c r="AE105" s="268">
        <f>-821.709-AD105</f>
        <v>-471.41699999999997</v>
      </c>
      <c r="AF105" s="268">
        <f>-1243.695-AE105-AD105</f>
        <v>-421.98600000000005</v>
      </c>
      <c r="AG105" s="268">
        <f>-2141.436-AF105-AE105-AD105</f>
        <v>-897.74100000000021</v>
      </c>
      <c r="AH105" s="268">
        <v>-591.61500000000001</v>
      </c>
      <c r="AI105" s="268">
        <f>-1286.325-AH105</f>
        <v>-694.71</v>
      </c>
      <c r="AJ105" s="268">
        <f>-2028.07-AI105-AH105</f>
        <v>-741.74499999999989</v>
      </c>
      <c r="AK105" s="268">
        <f>-2503.339-AJ105-AI105-AH105</f>
        <v>-475.26900000000001</v>
      </c>
      <c r="AL105" s="268">
        <v>-520.54100000000005</v>
      </c>
      <c r="AM105" s="268">
        <f>-950.872-AL105</f>
        <v>-430.3309999999999</v>
      </c>
      <c r="AN105" s="268">
        <f>-1431.968-AM105-AL105</f>
        <v>-481.09600000000012</v>
      </c>
      <c r="AO105" s="268">
        <f>-1824.734-AN105-AM105-AL105</f>
        <v>-392.76599999999996</v>
      </c>
      <c r="AP105" s="294">
        <f>AP133</f>
        <v>-530.95182000000011</v>
      </c>
      <c r="AQ105" s="294">
        <f t="shared" ref="AQ105:AS105" si="360">AQ133</f>
        <v>-441.08927499999982</v>
      </c>
      <c r="AR105" s="294">
        <f t="shared" si="360"/>
        <v>-493.1234</v>
      </c>
      <c r="AS105" s="294">
        <f t="shared" si="360"/>
        <v>-402.58514999999994</v>
      </c>
      <c r="AU105" s="294">
        <v>-501.43985147425514</v>
      </c>
      <c r="AW105" s="268">
        <v>-117.26900000000001</v>
      </c>
      <c r="AX105" s="268">
        <v>-651.92999999999995</v>
      </c>
      <c r="AY105" s="268">
        <v>-1344.3050000000001</v>
      </c>
      <c r="AZ105" s="268">
        <v>-1255.7170000000001</v>
      </c>
      <c r="BA105" s="268">
        <v>-1735.4749999999999</v>
      </c>
      <c r="BB105" s="268">
        <v>-905.20699999999999</v>
      </c>
      <c r="BC105" s="268">
        <v>-780.83900000000006</v>
      </c>
      <c r="BD105" s="268">
        <v>-553.53300000000002</v>
      </c>
      <c r="BE105" s="268">
        <v>-994.38499999999999</v>
      </c>
      <c r="BF105" s="268">
        <v>-2949.5030000000002</v>
      </c>
      <c r="BG105" s="268">
        <v>-2091.9960000000001</v>
      </c>
      <c r="BH105" s="268">
        <v>-670.14099999999996</v>
      </c>
      <c r="BI105" s="268">
        <v>-630.30399999999997</v>
      </c>
      <c r="BJ105" s="268">
        <v>-270.59300000000002</v>
      </c>
      <c r="BK105" s="268">
        <v>-1732.319</v>
      </c>
      <c r="BL105" s="268">
        <v>-2567.8220000000001</v>
      </c>
      <c r="BM105" s="268">
        <v>0</v>
      </c>
      <c r="BN105" s="268">
        <v>-1628.2270000000001</v>
      </c>
      <c r="BO105" s="268">
        <v>-1318.27</v>
      </c>
      <c r="BP105" s="268">
        <v>-2949.5030000000002</v>
      </c>
      <c r="BQ105" s="268">
        <f t="shared" ref="BQ105:BV105" si="361">+SUMIFS($B105:$AK105,$B$1:$AK$1,"="&amp;BQ$1)</f>
        <v>-2577.7109999999998</v>
      </c>
      <c r="BR105" s="268">
        <f t="shared" si="361"/>
        <v>-1792.0429999999999</v>
      </c>
      <c r="BS105" s="268">
        <f t="shared" si="361"/>
        <v>-771.98800000000006</v>
      </c>
      <c r="BT105" s="268">
        <f t="shared" si="361"/>
        <v>-795.28099999999995</v>
      </c>
      <c r="BU105" s="268">
        <f t="shared" si="361"/>
        <v>-2150.4740000000002</v>
      </c>
      <c r="BV105" s="268">
        <f t="shared" si="361"/>
        <v>-2141.4360000000001</v>
      </c>
      <c r="BW105" s="268">
        <f>+SUMIFS($B105:$AK105,$B$1:$AK$1,"="&amp;BW$1)</f>
        <v>-2141.4360000000001</v>
      </c>
      <c r="BX105" s="268">
        <f>+SUMIFS($B105:$AO105,$B$1:$AO$1,"="&amp;BX$1)</f>
        <v>-2503.3389999999999</v>
      </c>
      <c r="BY105" s="268">
        <f>+SUMIFS($B105:$AS105,$B$1:$AS$1,"="&amp;BY$1)</f>
        <v>-1824.7339999999999</v>
      </c>
      <c r="BZ105" s="268">
        <f>+SUMIFS($B105:$AS105,$B$1:$AS$1,"="&amp;BZ$1)</f>
        <v>-1867.7496449999999</v>
      </c>
      <c r="CA105" s="294">
        <f>CA133</f>
        <v>-2023.6914557475002</v>
      </c>
      <c r="CB105" s="294">
        <f>CB133</f>
        <v>-2064.1652848624503</v>
      </c>
      <c r="CC105" s="294">
        <f>CC133</f>
        <v>-2105.4485905596989</v>
      </c>
      <c r="CD105" s="294">
        <f>CD133</f>
        <v>-2147.5575623708933</v>
      </c>
    </row>
    <row r="106" spans="1:82" s="367" customFormat="1" ht="13.5" customHeight="1">
      <c r="A106" s="365" t="s">
        <v>128</v>
      </c>
      <c r="B106" s="366">
        <f t="shared" ref="B106:AI106" si="362">+SUM(B104:B105)</f>
        <v>184.01900000000001</v>
      </c>
      <c r="C106" s="366">
        <f t="shared" si="362"/>
        <v>274.28300000000002</v>
      </c>
      <c r="D106" s="366">
        <f t="shared" si="362"/>
        <v>-274.28300000000002</v>
      </c>
      <c r="E106" s="366">
        <f t="shared" si="362"/>
        <v>-3133.5219999999999</v>
      </c>
      <c r="F106" s="366">
        <f t="shared" si="362"/>
        <v>-676</v>
      </c>
      <c r="G106" s="366">
        <f t="shared" si="362"/>
        <v>-784</v>
      </c>
      <c r="H106" s="366">
        <f t="shared" si="362"/>
        <v>-492.904</v>
      </c>
      <c r="I106" s="366">
        <f t="shared" si="362"/>
        <v>-624.80699999999979</v>
      </c>
      <c r="J106" s="366">
        <f t="shared" si="362"/>
        <v>-492</v>
      </c>
      <c r="K106" s="366">
        <f t="shared" si="362"/>
        <v>-610.89499999999998</v>
      </c>
      <c r="L106" s="366">
        <f t="shared" si="362"/>
        <v>-375.38200000000006</v>
      </c>
      <c r="M106" s="366">
        <f t="shared" si="362"/>
        <v>-313.76599999999985</v>
      </c>
      <c r="N106" s="366">
        <f t="shared" si="362"/>
        <v>-167</v>
      </c>
      <c r="O106" s="366">
        <f t="shared" si="362"/>
        <v>-257</v>
      </c>
      <c r="P106" s="366">
        <f t="shared" si="362"/>
        <v>-159.52200000000005</v>
      </c>
      <c r="Q106" s="366">
        <f t="shared" si="362"/>
        <v>-188.46600000000001</v>
      </c>
      <c r="R106" s="366">
        <f t="shared" si="362"/>
        <v>-150</v>
      </c>
      <c r="S106" s="366">
        <f t="shared" si="362"/>
        <v>-216.74299999999999</v>
      </c>
      <c r="T106" s="366">
        <f t="shared" si="362"/>
        <v>-88.262999999999977</v>
      </c>
      <c r="U106" s="366">
        <f t="shared" si="362"/>
        <v>-340.27500000000003</v>
      </c>
      <c r="V106" s="366">
        <f t="shared" si="362"/>
        <v>-457.55549999999999</v>
      </c>
      <c r="W106" s="366">
        <f t="shared" si="362"/>
        <v>-355.44450000000001</v>
      </c>
      <c r="X106" s="366">
        <f t="shared" si="362"/>
        <v>-709.95800000000008</v>
      </c>
      <c r="Y106" s="366">
        <f t="shared" si="362"/>
        <v>-627.51600000000008</v>
      </c>
      <c r="Z106" s="366">
        <f t="shared" si="362"/>
        <v>-564.30999999999995</v>
      </c>
      <c r="AA106" s="366">
        <f t="shared" si="362"/>
        <v>-611.50400000000013</v>
      </c>
      <c r="AB106" s="366">
        <f t="shared" si="362"/>
        <v>-468.36299999999983</v>
      </c>
      <c r="AC106" s="366">
        <f t="shared" si="362"/>
        <v>-497.25900000000024</v>
      </c>
      <c r="AD106" s="366">
        <f t="shared" si="362"/>
        <v>-350.29199999999997</v>
      </c>
      <c r="AE106" s="366">
        <f t="shared" si="362"/>
        <v>-471.41699999999997</v>
      </c>
      <c r="AF106" s="366">
        <f t="shared" si="362"/>
        <v>-421.98600000000005</v>
      </c>
      <c r="AG106" s="366">
        <f t="shared" si="362"/>
        <v>-897.74100000000021</v>
      </c>
      <c r="AH106" s="366">
        <f t="shared" si="362"/>
        <v>-591.61500000000001</v>
      </c>
      <c r="AI106" s="366">
        <f t="shared" si="362"/>
        <v>-694.71</v>
      </c>
      <c r="AJ106" s="415">
        <f>-2037.139-AI106-AH106</f>
        <v>-750.81399999999985</v>
      </c>
      <c r="AK106" s="415">
        <f>-1299.541-AJ106-AI106-AH106</f>
        <v>737.59799999999996</v>
      </c>
      <c r="AL106" s="415">
        <v>-274.81099999999998</v>
      </c>
      <c r="AM106" s="415">
        <f>-585.677-AL106</f>
        <v>-310.86600000000004</v>
      </c>
      <c r="AN106" s="415">
        <f>-968.017-AM106-AL106</f>
        <v>-382.34000000000009</v>
      </c>
      <c r="AO106" s="415">
        <f>-1206.506-AN106-AM106-AL106</f>
        <v>-238.48899999999998</v>
      </c>
      <c r="AP106" s="366">
        <f t="shared" ref="AP106:AS106" si="363">+SUM(AP104:AP105)</f>
        <v>-530.95182000000011</v>
      </c>
      <c r="AQ106" s="366">
        <f t="shared" si="363"/>
        <v>-441.08927499999982</v>
      </c>
      <c r="AR106" s="366">
        <f t="shared" si="363"/>
        <v>-493.1234</v>
      </c>
      <c r="AS106" s="366">
        <f t="shared" si="363"/>
        <v>-402.58514999999994</v>
      </c>
      <c r="AU106" s="366">
        <v>-501.43985147425514</v>
      </c>
      <c r="AW106" s="366">
        <f t="shared" ref="AW106:BO106" si="364">+SUM(AW104:AW105)</f>
        <v>-117.26900000000001</v>
      </c>
      <c r="AX106" s="366">
        <f t="shared" si="364"/>
        <v>-651.92999999999995</v>
      </c>
      <c r="AY106" s="366">
        <f t="shared" si="364"/>
        <v>-1344.3050000000001</v>
      </c>
      <c r="AZ106" s="366">
        <f t="shared" si="364"/>
        <v>-1255.7170000000001</v>
      </c>
      <c r="BA106" s="366">
        <f t="shared" si="364"/>
        <v>-1735.4749999999999</v>
      </c>
      <c r="BB106" s="366">
        <f t="shared" si="364"/>
        <v>-905.20699999999999</v>
      </c>
      <c r="BC106" s="366">
        <f t="shared" si="364"/>
        <v>-780.83900000000006</v>
      </c>
      <c r="BD106" s="366">
        <f t="shared" si="364"/>
        <v>-553.53300000000002</v>
      </c>
      <c r="BE106" s="366">
        <f t="shared" si="364"/>
        <v>-994.38499999999999</v>
      </c>
      <c r="BF106" s="366">
        <f t="shared" si="364"/>
        <v>-2949.5030000000002</v>
      </c>
      <c r="BG106" s="366">
        <f t="shared" si="364"/>
        <v>-2091.9960000000001</v>
      </c>
      <c r="BH106" s="366">
        <f t="shared" si="364"/>
        <v>-670.14099999999996</v>
      </c>
      <c r="BI106" s="366">
        <f t="shared" si="364"/>
        <v>-630.30399999999997</v>
      </c>
      <c r="BJ106" s="366">
        <f t="shared" si="364"/>
        <v>-270.59300000000002</v>
      </c>
      <c r="BK106" s="366">
        <f t="shared" si="364"/>
        <v>-1732.319</v>
      </c>
      <c r="BL106" s="366">
        <f t="shared" si="364"/>
        <v>-2567.8220000000001</v>
      </c>
      <c r="BM106" s="366">
        <f t="shared" si="364"/>
        <v>0</v>
      </c>
      <c r="BN106" s="366">
        <f t="shared" si="364"/>
        <v>-1628.2270000000001</v>
      </c>
      <c r="BO106" s="366">
        <f t="shared" si="364"/>
        <v>-1318.27</v>
      </c>
      <c r="BP106" s="366">
        <f t="shared" ref="BP106:CD106" si="365">+SUM(BP104:BP105)</f>
        <v>-2949.5030000000002</v>
      </c>
      <c r="BQ106" s="366">
        <f t="shared" si="365"/>
        <v>-2577.7109999999998</v>
      </c>
      <c r="BR106" s="366">
        <f t="shared" si="365"/>
        <v>-1792.0429999999999</v>
      </c>
      <c r="BS106" s="366">
        <f t="shared" si="365"/>
        <v>-771.98800000000006</v>
      </c>
      <c r="BT106" s="366">
        <f t="shared" si="365"/>
        <v>-795.28099999999995</v>
      </c>
      <c r="BU106" s="366">
        <f t="shared" si="365"/>
        <v>-2150.4740000000002</v>
      </c>
      <c r="BV106" s="366">
        <f t="shared" si="365"/>
        <v>-2141.4360000000001</v>
      </c>
      <c r="BW106" s="366">
        <f t="shared" si="365"/>
        <v>-2141.4360000000001</v>
      </c>
      <c r="BX106" s="366">
        <f t="shared" si="365"/>
        <v>-2503.3389999999999</v>
      </c>
      <c r="BY106" s="366">
        <f>+SUM(BY104:BY105)</f>
        <v>-1824.7339999999999</v>
      </c>
      <c r="BZ106" s="366">
        <f>+SUM(BZ104:BZ105)</f>
        <v>-1867.7496449999999</v>
      </c>
      <c r="CA106" s="366">
        <f t="shared" si="365"/>
        <v>-2023.6914557475002</v>
      </c>
      <c r="CB106" s="366">
        <f t="shared" si="365"/>
        <v>-2064.1652848624503</v>
      </c>
      <c r="CC106" s="366">
        <f t="shared" si="365"/>
        <v>-2105.4485905596989</v>
      </c>
      <c r="CD106" s="366">
        <f t="shared" si="365"/>
        <v>-2147.5575623708933</v>
      </c>
    </row>
    <row r="107" spans="1:82" ht="13.5" customHeight="1">
      <c r="A107" s="319" t="s">
        <v>129</v>
      </c>
      <c r="B107" s="269">
        <f>+B106+B102</f>
        <v>1486.366</v>
      </c>
      <c r="C107" s="269">
        <f>+C106+C102</f>
        <v>1284.636</v>
      </c>
      <c r="D107" s="269">
        <f>+D106+D102</f>
        <v>-1284.636</v>
      </c>
      <c r="E107" s="269">
        <f>+E106+E102</f>
        <v>-364.59900000000016</v>
      </c>
      <c r="F107" s="269">
        <f t="shared" ref="F107:K107" si="366">+F106+F102</f>
        <v>278</v>
      </c>
      <c r="G107" s="269">
        <f t="shared" si="366"/>
        <v>82</v>
      </c>
      <c r="H107" s="269">
        <f t="shared" si="366"/>
        <v>1237.8090000000002</v>
      </c>
      <c r="I107" s="269">
        <f>+I106+I102</f>
        <v>1350.5769999999998</v>
      </c>
      <c r="J107" s="269">
        <f t="shared" si="366"/>
        <v>1117</v>
      </c>
      <c r="K107" s="269">
        <f t="shared" si="366"/>
        <v>583.68299999999999</v>
      </c>
      <c r="L107" s="269">
        <f t="shared" ref="L107:AK107" si="367">+L106+L102</f>
        <v>3340.8990000000008</v>
      </c>
      <c r="M107" s="269">
        <f t="shared" si="367"/>
        <v>120.16899999999919</v>
      </c>
      <c r="N107" s="269">
        <f t="shared" si="367"/>
        <v>2110</v>
      </c>
      <c r="O107" s="269">
        <f t="shared" si="367"/>
        <v>1835</v>
      </c>
      <c r="P107" s="269">
        <f t="shared" si="367"/>
        <v>2117.4780000000001</v>
      </c>
      <c r="Q107" s="269">
        <f t="shared" si="367"/>
        <v>3027.6450000000009</v>
      </c>
      <c r="R107" s="269">
        <f t="shared" si="367"/>
        <v>2517</v>
      </c>
      <c r="S107" s="269">
        <f t="shared" si="367"/>
        <v>2435.6129999999998</v>
      </c>
      <c r="T107" s="269">
        <f t="shared" si="367"/>
        <v>2186.6550000000007</v>
      </c>
      <c r="U107" s="269">
        <f t="shared" si="367"/>
        <v>2399.212</v>
      </c>
      <c r="V107" s="269">
        <f t="shared" si="367"/>
        <v>1405.6545000000001</v>
      </c>
      <c r="W107" s="269">
        <f t="shared" si="367"/>
        <v>362.34549999999996</v>
      </c>
      <c r="X107" s="269">
        <f t="shared" si="367"/>
        <v>1952.3510000000001</v>
      </c>
      <c r="Y107" s="269">
        <f t="shared" si="367"/>
        <v>926.83599999999979</v>
      </c>
      <c r="Z107" s="269">
        <f t="shared" si="367"/>
        <v>986.91800000000012</v>
      </c>
      <c r="AA107" s="269">
        <f t="shared" si="367"/>
        <v>1759.8239999999998</v>
      </c>
      <c r="AB107" s="269">
        <f t="shared" si="367"/>
        <v>1872.4440000000004</v>
      </c>
      <c r="AC107" s="269">
        <f t="shared" si="367"/>
        <v>1558.318</v>
      </c>
      <c r="AD107" s="269">
        <f t="shared" si="367"/>
        <v>2179.7730000000001</v>
      </c>
      <c r="AE107" s="269">
        <f t="shared" si="367"/>
        <v>2683.6310000000003</v>
      </c>
      <c r="AF107" s="269">
        <f t="shared" si="367"/>
        <v>3186.3709999999987</v>
      </c>
      <c r="AG107" s="269">
        <f t="shared" si="367"/>
        <v>2568.8140000000003</v>
      </c>
      <c r="AH107" s="269">
        <f t="shared" si="367"/>
        <v>2087.6530000000002</v>
      </c>
      <c r="AI107" s="269">
        <f t="shared" si="367"/>
        <v>1317.5820000000003</v>
      </c>
      <c r="AJ107" s="269">
        <f t="shared" si="367"/>
        <v>2389.2040000000002</v>
      </c>
      <c r="AK107" s="269">
        <f t="shared" si="367"/>
        <v>3507.3190000000004</v>
      </c>
      <c r="AL107" s="269">
        <f>+AL106+AL102</f>
        <v>1275.6870000000001</v>
      </c>
      <c r="AM107" s="269">
        <f>+AM106+AM102</f>
        <v>1721.0219999999999</v>
      </c>
      <c r="AN107" s="269">
        <f>+AN106+AN102</f>
        <v>3011.3929999999996</v>
      </c>
      <c r="AO107" s="269">
        <f>+AO106+AO102</f>
        <v>2597.4789999999994</v>
      </c>
      <c r="AP107" s="308">
        <f t="shared" ref="AP107:AS107" si="368">+AP106+AP102</f>
        <v>8906.7663207755031</v>
      </c>
      <c r="AQ107" s="308">
        <f t="shared" si="368"/>
        <v>3.2461943846183203</v>
      </c>
      <c r="AR107" s="308">
        <f t="shared" si="368"/>
        <v>760.28230838725494</v>
      </c>
      <c r="AS107" s="308">
        <f t="shared" si="368"/>
        <v>-1549.0615742432224</v>
      </c>
      <c r="AU107" s="308">
        <v>-827.77984043524248</v>
      </c>
      <c r="AW107" s="269">
        <f t="shared" ref="AW107:BO107" si="369">+AW106+AW102</f>
        <v>2206.5240000000003</v>
      </c>
      <c r="AX107" s="269">
        <f t="shared" si="369"/>
        <v>2148.5480000000002</v>
      </c>
      <c r="AY107" s="269">
        <f t="shared" si="369"/>
        <v>2404.6469999999999</v>
      </c>
      <c r="AZ107" s="269">
        <f t="shared" si="369"/>
        <v>2267.4769999999999</v>
      </c>
      <c r="BA107" s="269">
        <f t="shared" si="369"/>
        <v>2021.6510000000003</v>
      </c>
      <c r="BB107" s="269">
        <f t="shared" si="369"/>
        <v>2633.5650000000001</v>
      </c>
      <c r="BC107" s="269">
        <f t="shared" si="369"/>
        <v>2094.462</v>
      </c>
      <c r="BD107" s="269">
        <f t="shared" si="369"/>
        <v>3772.9159999999997</v>
      </c>
      <c r="BE107" s="269">
        <f t="shared" si="369"/>
        <v>2886.4639999999999</v>
      </c>
      <c r="BF107" s="269">
        <f t="shared" si="369"/>
        <v>1121.7669999999998</v>
      </c>
      <c r="BG107" s="269">
        <f t="shared" si="369"/>
        <v>3382.9740000000002</v>
      </c>
      <c r="BH107" s="269">
        <f t="shared" si="369"/>
        <v>4548.1420000000007</v>
      </c>
      <c r="BI107" s="269">
        <f t="shared" si="369"/>
        <v>6013.7349999999997</v>
      </c>
      <c r="BJ107" s="269">
        <f t="shared" si="369"/>
        <v>4589.6770000000006</v>
      </c>
      <c r="BK107" s="269">
        <f t="shared" si="369"/>
        <v>2937.1650000000004</v>
      </c>
      <c r="BL107" s="269">
        <f t="shared" si="369"/>
        <v>4360.8320000000003</v>
      </c>
      <c r="BM107" s="269">
        <f t="shared" si="369"/>
        <v>7501.6639999999998</v>
      </c>
      <c r="BN107" s="269">
        <f t="shared" si="369"/>
        <v>3836.424</v>
      </c>
      <c r="BO107" s="269">
        <f t="shared" si="369"/>
        <v>5985.1219999999994</v>
      </c>
      <c r="BP107" s="269">
        <f t="shared" ref="BP107:BU107" si="370">+BP106+BP102</f>
        <v>3709.8809999999999</v>
      </c>
      <c r="BQ107" s="269">
        <f t="shared" si="370"/>
        <v>2948.386</v>
      </c>
      <c r="BR107" s="269">
        <f t="shared" si="370"/>
        <v>5161.7510000000002</v>
      </c>
      <c r="BS107" s="269">
        <f t="shared" si="370"/>
        <v>9090.1230000000014</v>
      </c>
      <c r="BT107" s="269">
        <f t="shared" si="370"/>
        <v>9538.48</v>
      </c>
      <c r="BU107" s="269">
        <f t="shared" si="370"/>
        <v>4647.1869999999999</v>
      </c>
      <c r="BV107" s="269">
        <f t="shared" ref="BV107:CD107" si="371">+BV106+BV102</f>
        <v>6177.5040000000008</v>
      </c>
      <c r="BW107" s="269">
        <f t="shared" si="371"/>
        <v>10618.589</v>
      </c>
      <c r="BX107" s="269">
        <f t="shared" si="371"/>
        <v>8097.9600000000009</v>
      </c>
      <c r="BY107" s="269">
        <f>+BY106+BY102</f>
        <v>7987.3529999999992</v>
      </c>
      <c r="BZ107" s="269">
        <f>+BZ106+BZ102</f>
        <v>8121.2332493041522</v>
      </c>
      <c r="CA107" s="308">
        <f t="shared" si="371"/>
        <v>8173.8186299464332</v>
      </c>
      <c r="CB107" s="308">
        <f t="shared" si="371"/>
        <v>8143.9803753401975</v>
      </c>
      <c r="CC107" s="308">
        <f t="shared" si="371"/>
        <v>8139.2866146702272</v>
      </c>
      <c r="CD107" s="308">
        <f t="shared" si="371"/>
        <v>8194.5301500311161</v>
      </c>
    </row>
    <row r="108" spans="1:82" ht="13.5" customHeight="1">
      <c r="A108" s="319"/>
      <c r="B108" s="269"/>
      <c r="C108" s="269"/>
      <c r="D108" s="269"/>
      <c r="E108" s="269"/>
      <c r="F108" s="269"/>
      <c r="G108" s="269"/>
      <c r="H108" s="269"/>
      <c r="I108" s="269"/>
      <c r="J108" s="269"/>
      <c r="K108" s="269"/>
      <c r="L108" s="269"/>
      <c r="M108" s="269"/>
      <c r="N108" s="269"/>
      <c r="O108" s="269"/>
      <c r="P108" s="269"/>
      <c r="Q108" s="269"/>
      <c r="R108" s="269"/>
      <c r="S108" s="269"/>
      <c r="T108" s="269"/>
      <c r="U108" s="269"/>
      <c r="V108" s="269"/>
      <c r="W108" s="269"/>
      <c r="X108" s="269"/>
      <c r="Y108" s="269"/>
      <c r="Z108" s="269"/>
      <c r="AA108" s="269"/>
      <c r="AB108" s="269"/>
      <c r="AC108" s="269"/>
      <c r="AD108" s="269"/>
      <c r="AE108" s="269"/>
      <c r="AF108" s="269"/>
      <c r="AG108" s="269"/>
      <c r="AH108" s="269"/>
      <c r="AI108" s="269"/>
      <c r="AJ108" s="269"/>
      <c r="AK108" s="269"/>
      <c r="AL108" s="269"/>
      <c r="AM108" s="269"/>
      <c r="AN108" s="269"/>
      <c r="AO108" s="269"/>
      <c r="AP108" s="308"/>
      <c r="AQ108" s="308"/>
      <c r="AR108" s="308"/>
      <c r="AS108" s="308"/>
      <c r="AU108" s="308"/>
      <c r="AW108" s="269"/>
      <c r="AX108" s="269"/>
      <c r="AY108" s="269"/>
      <c r="AZ108" s="269"/>
      <c r="BA108" s="269"/>
      <c r="BB108" s="269"/>
      <c r="BC108" s="269"/>
      <c r="BD108" s="269"/>
      <c r="BE108" s="269"/>
      <c r="BF108" s="269"/>
      <c r="BG108" s="269"/>
      <c r="BH108" s="269"/>
      <c r="BI108" s="269"/>
      <c r="BJ108" s="269"/>
      <c r="BK108" s="269"/>
      <c r="BL108" s="269"/>
      <c r="BM108" s="269"/>
      <c r="BN108" s="269"/>
      <c r="BO108" s="269"/>
      <c r="BP108" s="269"/>
      <c r="BQ108" s="269"/>
      <c r="BR108" s="269"/>
      <c r="BS108" s="269"/>
      <c r="BT108" s="269"/>
      <c r="BU108" s="269"/>
      <c r="BV108" s="269"/>
      <c r="BW108" s="269"/>
      <c r="BX108" s="269"/>
      <c r="BY108" s="269"/>
      <c r="BZ108" s="269"/>
      <c r="CA108" s="308"/>
      <c r="CB108" s="308"/>
      <c r="CC108" s="308"/>
      <c r="CD108" s="308"/>
    </row>
    <row r="109" spans="1:82" ht="13.5" customHeight="1">
      <c r="A109" s="321" t="s">
        <v>130</v>
      </c>
      <c r="B109" s="244">
        <f t="shared" ref="B109:I109" si="372">B$2</f>
        <v>42459</v>
      </c>
      <c r="C109" s="244">
        <f t="shared" si="372"/>
        <v>42551</v>
      </c>
      <c r="D109" s="244">
        <f t="shared" si="372"/>
        <v>42643</v>
      </c>
      <c r="E109" s="244">
        <f t="shared" si="372"/>
        <v>42735</v>
      </c>
      <c r="F109" s="244">
        <f t="shared" si="372"/>
        <v>42825</v>
      </c>
      <c r="G109" s="244">
        <f t="shared" si="372"/>
        <v>42916</v>
      </c>
      <c r="H109" s="244">
        <f t="shared" si="372"/>
        <v>43008</v>
      </c>
      <c r="I109" s="244">
        <f t="shared" si="372"/>
        <v>43100</v>
      </c>
      <c r="J109" s="244">
        <f t="shared" ref="J109:AS109" si="373">J$2</f>
        <v>43190</v>
      </c>
      <c r="K109" s="244">
        <f t="shared" si="373"/>
        <v>43281</v>
      </c>
      <c r="L109" s="244">
        <f t="shared" si="373"/>
        <v>43373</v>
      </c>
      <c r="M109" s="244">
        <f t="shared" si="373"/>
        <v>43465</v>
      </c>
      <c r="N109" s="244">
        <f t="shared" si="373"/>
        <v>43555</v>
      </c>
      <c r="O109" s="244">
        <f t="shared" si="373"/>
        <v>43646</v>
      </c>
      <c r="P109" s="244">
        <f t="shared" si="373"/>
        <v>43738</v>
      </c>
      <c r="Q109" s="244">
        <f t="shared" si="373"/>
        <v>43830</v>
      </c>
      <c r="R109" s="244">
        <f t="shared" si="373"/>
        <v>43921</v>
      </c>
      <c r="S109" s="244">
        <f t="shared" si="373"/>
        <v>44012</v>
      </c>
      <c r="T109" s="244">
        <f t="shared" si="373"/>
        <v>44104</v>
      </c>
      <c r="U109" s="244">
        <f t="shared" si="373"/>
        <v>44196</v>
      </c>
      <c r="V109" s="244">
        <f t="shared" si="373"/>
        <v>44286</v>
      </c>
      <c r="W109" s="244">
        <f t="shared" si="373"/>
        <v>44377</v>
      </c>
      <c r="X109" s="244">
        <f t="shared" si="373"/>
        <v>44469</v>
      </c>
      <c r="Y109" s="244">
        <f t="shared" si="373"/>
        <v>44561</v>
      </c>
      <c r="Z109" s="244">
        <f t="shared" si="373"/>
        <v>44651</v>
      </c>
      <c r="AA109" s="244">
        <f t="shared" si="373"/>
        <v>44742</v>
      </c>
      <c r="AB109" s="244">
        <f t="shared" si="373"/>
        <v>44834</v>
      </c>
      <c r="AC109" s="244">
        <f t="shared" si="373"/>
        <v>44926</v>
      </c>
      <c r="AD109" s="244">
        <f t="shared" si="373"/>
        <v>45016</v>
      </c>
      <c r="AE109" s="244">
        <f t="shared" si="373"/>
        <v>45107</v>
      </c>
      <c r="AF109" s="244">
        <f t="shared" si="373"/>
        <v>45199</v>
      </c>
      <c r="AG109" s="244">
        <f t="shared" si="373"/>
        <v>45291</v>
      </c>
      <c r="AH109" s="244">
        <f t="shared" si="373"/>
        <v>45382</v>
      </c>
      <c r="AI109" s="244">
        <f t="shared" si="373"/>
        <v>45473</v>
      </c>
      <c r="AJ109" s="244">
        <f t="shared" si="373"/>
        <v>45565</v>
      </c>
      <c r="AK109" s="244">
        <f t="shared" si="373"/>
        <v>45657</v>
      </c>
      <c r="AL109" s="244">
        <f t="shared" si="373"/>
        <v>45747</v>
      </c>
      <c r="AM109" s="244">
        <f t="shared" si="373"/>
        <v>45838</v>
      </c>
      <c r="AN109" s="244">
        <f t="shared" si="373"/>
        <v>45930</v>
      </c>
      <c r="AO109" s="244">
        <f t="shared" si="373"/>
        <v>46022</v>
      </c>
      <c r="AP109" s="244">
        <f t="shared" si="373"/>
        <v>46112</v>
      </c>
      <c r="AQ109" s="244">
        <f t="shared" si="373"/>
        <v>46203</v>
      </c>
      <c r="AR109" s="244">
        <f t="shared" si="373"/>
        <v>46295</v>
      </c>
      <c r="AS109" s="244">
        <f t="shared" si="373"/>
        <v>46387</v>
      </c>
      <c r="AU109" s="244">
        <v>46022</v>
      </c>
      <c r="AW109" s="244">
        <f t="shared" ref="AW109:CD109" si="374">AW$2</f>
        <v>35795</v>
      </c>
      <c r="AX109" s="244">
        <f t="shared" si="374"/>
        <v>36160</v>
      </c>
      <c r="AY109" s="244">
        <f t="shared" si="374"/>
        <v>36525</v>
      </c>
      <c r="AZ109" s="244">
        <f t="shared" si="374"/>
        <v>36891</v>
      </c>
      <c r="BA109" s="244">
        <f t="shared" si="374"/>
        <v>37256</v>
      </c>
      <c r="BB109" s="244">
        <f t="shared" si="374"/>
        <v>37621</v>
      </c>
      <c r="BC109" s="244">
        <f t="shared" si="374"/>
        <v>37986</v>
      </c>
      <c r="BD109" s="244">
        <f t="shared" si="374"/>
        <v>38352</v>
      </c>
      <c r="BE109" s="244">
        <f t="shared" si="374"/>
        <v>38717</v>
      </c>
      <c r="BF109" s="244">
        <f t="shared" si="374"/>
        <v>39082</v>
      </c>
      <c r="BG109" s="244">
        <f t="shared" si="374"/>
        <v>39447</v>
      </c>
      <c r="BH109" s="244">
        <f t="shared" si="374"/>
        <v>39813</v>
      </c>
      <c r="BI109" s="244">
        <f t="shared" si="374"/>
        <v>40178</v>
      </c>
      <c r="BJ109" s="244">
        <f t="shared" si="374"/>
        <v>40543</v>
      </c>
      <c r="BK109" s="244">
        <f t="shared" si="374"/>
        <v>40908</v>
      </c>
      <c r="BL109" s="244">
        <f t="shared" si="374"/>
        <v>41274</v>
      </c>
      <c r="BM109" s="244">
        <f t="shared" si="374"/>
        <v>41639</v>
      </c>
      <c r="BN109" s="244">
        <f t="shared" si="374"/>
        <v>42004</v>
      </c>
      <c r="BO109" s="244">
        <f t="shared" si="374"/>
        <v>42369</v>
      </c>
      <c r="BP109" s="244">
        <f t="shared" si="374"/>
        <v>42735</v>
      </c>
      <c r="BQ109" s="244">
        <f t="shared" si="374"/>
        <v>43100</v>
      </c>
      <c r="BR109" s="244">
        <f t="shared" si="374"/>
        <v>43465</v>
      </c>
      <c r="BS109" s="244">
        <f t="shared" si="374"/>
        <v>43830</v>
      </c>
      <c r="BT109" s="244">
        <f t="shared" si="374"/>
        <v>44196</v>
      </c>
      <c r="BU109" s="244">
        <f t="shared" si="374"/>
        <v>44561</v>
      </c>
      <c r="BV109" s="244">
        <f t="shared" si="374"/>
        <v>44926</v>
      </c>
      <c r="BW109" s="244">
        <f t="shared" si="374"/>
        <v>45291</v>
      </c>
      <c r="BX109" s="244">
        <f t="shared" si="374"/>
        <v>45657</v>
      </c>
      <c r="BY109" s="244">
        <f>BY$2</f>
        <v>46022</v>
      </c>
      <c r="BZ109" s="244">
        <f>BZ$2</f>
        <v>46387</v>
      </c>
      <c r="CA109" s="244">
        <f t="shared" si="374"/>
        <v>46752</v>
      </c>
      <c r="CB109" s="244">
        <f t="shared" si="374"/>
        <v>47118</v>
      </c>
      <c r="CC109" s="244">
        <f t="shared" si="374"/>
        <v>47483</v>
      </c>
      <c r="CD109" s="244">
        <f t="shared" si="374"/>
        <v>47848</v>
      </c>
    </row>
    <row r="110" spans="1:82" s="319" customFormat="1" ht="13.5" customHeight="1">
      <c r="A110" s="319" t="s">
        <v>131</v>
      </c>
      <c r="B110" s="342">
        <v>0</v>
      </c>
      <c r="C110" s="342">
        <v>0</v>
      </c>
      <c r="D110" s="342">
        <v>0</v>
      </c>
      <c r="E110" s="342">
        <v>-714.75599999999997</v>
      </c>
      <c r="F110" s="342">
        <v>-714.75599999999997</v>
      </c>
      <c r="G110" s="342">
        <v>0</v>
      </c>
      <c r="H110" s="342">
        <v>0</v>
      </c>
      <c r="I110" s="342"/>
      <c r="J110" s="342">
        <v>0</v>
      </c>
      <c r="K110" s="342">
        <v>0</v>
      </c>
      <c r="L110" s="342">
        <v>0</v>
      </c>
      <c r="M110" s="342">
        <v>0</v>
      </c>
      <c r="N110" s="342">
        <v>0</v>
      </c>
      <c r="O110" s="342">
        <v>0</v>
      </c>
      <c r="P110" s="342">
        <v>0</v>
      </c>
      <c r="Q110" s="342">
        <v>0</v>
      </c>
      <c r="R110" s="342">
        <v>0</v>
      </c>
      <c r="S110" s="342">
        <v>0</v>
      </c>
      <c r="T110" s="342">
        <v>0</v>
      </c>
      <c r="U110" s="342">
        <v>0</v>
      </c>
      <c r="V110" s="342">
        <v>0</v>
      </c>
      <c r="W110" s="342">
        <v>0</v>
      </c>
      <c r="X110" s="342">
        <v>0</v>
      </c>
      <c r="Y110" s="342"/>
      <c r="Z110" s="342">
        <v>0</v>
      </c>
      <c r="AA110" s="342">
        <v>0</v>
      </c>
      <c r="AB110" s="342">
        <v>0</v>
      </c>
      <c r="AC110" s="342">
        <v>0</v>
      </c>
      <c r="AD110" s="342">
        <v>0</v>
      </c>
      <c r="AE110" s="342">
        <v>0</v>
      </c>
      <c r="AF110" s="342">
        <v>0</v>
      </c>
      <c r="AG110" s="342">
        <v>0</v>
      </c>
      <c r="AH110" s="342">
        <v>0</v>
      </c>
      <c r="AI110" s="342">
        <v>0</v>
      </c>
      <c r="AJ110" s="342">
        <f>-605.151-AI110-AH110-AG110</f>
        <v>-605.15099999999995</v>
      </c>
      <c r="AK110" s="342">
        <f>-975.408-AJ110-AI110-AH110</f>
        <v>-370.25700000000006</v>
      </c>
      <c r="AL110" s="342">
        <v>-173.62799999999999</v>
      </c>
      <c r="AM110" s="342">
        <f>-564.859-AL110</f>
        <v>-391.23100000000005</v>
      </c>
      <c r="AN110" s="342">
        <f>-1113.928-AM110-AL110</f>
        <v>-549.06900000000019</v>
      </c>
      <c r="AO110" s="342">
        <f>-1444.138-AN110-AM110-AL110</f>
        <v>-330.2099999999997</v>
      </c>
      <c r="AP110" s="315">
        <v>-500</v>
      </c>
      <c r="AQ110" s="315">
        <v>-500</v>
      </c>
      <c r="AR110" s="315">
        <v>-500</v>
      </c>
      <c r="AS110" s="315">
        <v>-500</v>
      </c>
      <c r="AU110" s="378">
        <v>-500</v>
      </c>
      <c r="AW110" s="342">
        <v>-211.35900000000001</v>
      </c>
      <c r="AX110" s="342">
        <v>-661.74400000000003</v>
      </c>
      <c r="AY110" s="342">
        <v>-680.78300000000002</v>
      </c>
      <c r="AZ110" s="342">
        <v>-1113.279</v>
      </c>
      <c r="BA110" s="342">
        <v>-665.55200000000002</v>
      </c>
      <c r="BB110" s="342">
        <v>-725.53</v>
      </c>
      <c r="BC110" s="342">
        <v>-433.35899999999998</v>
      </c>
      <c r="BD110" s="342">
        <v>-567.13199999999995</v>
      </c>
      <c r="BE110" s="342">
        <v>-469.15100000000001</v>
      </c>
      <c r="BF110" s="342">
        <v>-714.75599999999997</v>
      </c>
      <c r="BG110" s="342">
        <v>-1009.688</v>
      </c>
      <c r="BH110" s="342">
        <v>0</v>
      </c>
      <c r="BI110" s="342">
        <v>0</v>
      </c>
      <c r="BJ110" s="342">
        <v>0</v>
      </c>
      <c r="BK110" s="342">
        <v>0</v>
      </c>
      <c r="BL110" s="342">
        <v>0</v>
      </c>
      <c r="BM110" s="342">
        <v>0</v>
      </c>
      <c r="BN110" s="342">
        <v>0</v>
      </c>
      <c r="BO110" s="342">
        <v>-2289.6959999999999</v>
      </c>
      <c r="BP110" s="342">
        <v>-714.75599999999997</v>
      </c>
      <c r="BQ110" s="342"/>
      <c r="BR110" s="342"/>
      <c r="BS110" s="342"/>
      <c r="BT110" s="342">
        <f>-0.4*4*BT28</f>
        <v>-0.21328246996251529</v>
      </c>
      <c r="BU110" s="342">
        <f>-0.4*4*BU28</f>
        <v>-0.15332866620805727</v>
      </c>
      <c r="BV110" s="342">
        <f>-0.4*4*BV28</f>
        <v>-0.15463361423108757</v>
      </c>
      <c r="BW110" s="342">
        <f>-0.4*4*BW28</f>
        <v>-0.2104890658560874</v>
      </c>
      <c r="BX110" s="342">
        <f>+SUMIFS($B110:$AO110,$B$1:$AO$1,"="&amp;BX$1)</f>
        <v>-975.40800000000002</v>
      </c>
      <c r="BY110" s="342">
        <f>+SUMIFS($B110:$AS110,$B$1:$AS$1,"="&amp;BY$1)</f>
        <v>-1444.1379999999999</v>
      </c>
      <c r="BZ110" s="342">
        <f>+SUMIFS($B110:$AS110,$B$1:$AS$1,"="&amp;BZ$1)</f>
        <v>-2000</v>
      </c>
      <c r="CA110" s="378"/>
      <c r="CB110" s="378"/>
      <c r="CC110" s="378"/>
      <c r="CD110" s="378"/>
    </row>
    <row r="111" spans="1:82" ht="13.5" customHeight="1">
      <c r="A111" s="260" t="s">
        <v>132</v>
      </c>
      <c r="B111" s="376" t="e">
        <f t="shared" ref="B111:Y111" si="375">+B30-A30</f>
        <v>#VALUE!</v>
      </c>
      <c r="C111" s="376">
        <f t="shared" si="375"/>
        <v>-3.229076923077173</v>
      </c>
      <c r="D111" s="376">
        <f t="shared" si="375"/>
        <v>-0.38999999999987267</v>
      </c>
      <c r="E111" s="376">
        <f t="shared" si="375"/>
        <v>-7.999999999992724E-2</v>
      </c>
      <c r="F111" s="376">
        <f t="shared" si="375"/>
        <v>-3.0420000000003711</v>
      </c>
      <c r="G111" s="376">
        <f t="shared" si="375"/>
        <v>0</v>
      </c>
      <c r="H111" s="376">
        <f t="shared" si="375"/>
        <v>0</v>
      </c>
      <c r="I111" s="376">
        <f t="shared" si="375"/>
        <v>0</v>
      </c>
      <c r="J111" s="376">
        <f t="shared" si="375"/>
        <v>0</v>
      </c>
      <c r="K111" s="376">
        <f t="shared" si="375"/>
        <v>0</v>
      </c>
      <c r="L111" s="376">
        <f t="shared" si="375"/>
        <v>0</v>
      </c>
      <c r="M111" s="376">
        <f t="shared" si="375"/>
        <v>0</v>
      </c>
      <c r="N111" s="376">
        <f t="shared" si="375"/>
        <v>0</v>
      </c>
      <c r="O111" s="376">
        <f t="shared" si="375"/>
        <v>0</v>
      </c>
      <c r="P111" s="376">
        <f t="shared" si="375"/>
        <v>0</v>
      </c>
      <c r="Q111" s="376">
        <f t="shared" si="375"/>
        <v>0</v>
      </c>
      <c r="R111" s="376">
        <f t="shared" si="375"/>
        <v>0</v>
      </c>
      <c r="S111" s="376">
        <f t="shared" si="375"/>
        <v>0</v>
      </c>
      <c r="T111" s="376">
        <f t="shared" si="375"/>
        <v>0</v>
      </c>
      <c r="U111" s="376">
        <f t="shared" si="375"/>
        <v>0</v>
      </c>
      <c r="V111" s="376">
        <f t="shared" si="375"/>
        <v>0</v>
      </c>
      <c r="W111" s="376">
        <f t="shared" si="375"/>
        <v>0</v>
      </c>
      <c r="X111" s="376">
        <f t="shared" si="375"/>
        <v>0</v>
      </c>
      <c r="Y111" s="376">
        <f t="shared" si="375"/>
        <v>0</v>
      </c>
      <c r="Z111" s="376"/>
      <c r="AA111" s="376"/>
      <c r="AB111" s="376"/>
      <c r="AC111" s="376"/>
      <c r="AD111" s="376"/>
      <c r="AE111" s="376"/>
      <c r="AF111" s="376"/>
      <c r="AG111" s="376"/>
      <c r="AH111" s="376"/>
      <c r="AI111" s="376"/>
      <c r="AJ111" s="376">
        <f>+AJ30-AI30</f>
        <v>-18.405486999999994</v>
      </c>
      <c r="AK111" s="376">
        <f>+AK30-AJ30</f>
        <v>-13.149701000000277</v>
      </c>
      <c r="AL111" s="376">
        <f>+AL30-AK30</f>
        <v>-5.4985329999999522</v>
      </c>
      <c r="AM111" s="376">
        <f t="shared" ref="AM111:AO111" si="376">+AM30-AL30</f>
        <v>-11.694884000000002</v>
      </c>
      <c r="AN111" s="376">
        <f t="shared" si="376"/>
        <v>-15.674559000000045</v>
      </c>
      <c r="AO111" s="376">
        <f t="shared" si="376"/>
        <v>-9.8607649999999012</v>
      </c>
      <c r="AP111" s="377">
        <f t="shared" ref="AP111:AS111" si="377">+AP110/AP112</f>
        <v>-16.129032258064516</v>
      </c>
      <c r="AQ111" s="377">
        <f t="shared" si="377"/>
        <v>-16.129032258064516</v>
      </c>
      <c r="AR111" s="377">
        <f t="shared" si="377"/>
        <v>-16.129032258064516</v>
      </c>
      <c r="AS111" s="377">
        <f t="shared" si="377"/>
        <v>-16.129032258064516</v>
      </c>
      <c r="AU111" s="377">
        <v>-16.129032258064516</v>
      </c>
      <c r="AW111" s="256">
        <v>14.238</v>
      </c>
      <c r="AX111" s="256">
        <v>45.832000000000001</v>
      </c>
      <c r="AY111" s="256">
        <v>65.635999999999996</v>
      </c>
      <c r="AZ111" s="256">
        <v>110.10299999999999</v>
      </c>
      <c r="BA111" s="256">
        <v>136.42099999999999</v>
      </c>
      <c r="BB111" s="256">
        <v>46.853000000000002</v>
      </c>
      <c r="BC111" s="256">
        <v>42.06</v>
      </c>
      <c r="BD111" s="256">
        <v>32.130000000000003</v>
      </c>
      <c r="BE111" s="256">
        <v>26.756</v>
      </c>
      <c r="BF111" s="256">
        <v>4.8849999999999998</v>
      </c>
      <c r="BG111" s="256">
        <v>38.848999999999997</v>
      </c>
      <c r="BH111" s="256">
        <v>40.244999999999997</v>
      </c>
      <c r="BI111" s="256">
        <v>36.875</v>
      </c>
      <c r="BJ111" s="256">
        <v>36.090000000000003</v>
      </c>
      <c r="BK111" s="256">
        <v>70581.899999999994</v>
      </c>
      <c r="BL111" s="256">
        <v>42068.12</v>
      </c>
      <c r="BM111" s="256">
        <v>26299.649000000001</v>
      </c>
      <c r="BN111" s="256">
        <v>42013.65</v>
      </c>
      <c r="BO111" s="256">
        <v>31329.078000000001</v>
      </c>
      <c r="BP111" s="256">
        <v>28826.725999999999</v>
      </c>
      <c r="BQ111" s="256"/>
      <c r="BR111" s="256"/>
      <c r="BS111" s="256"/>
      <c r="BT111" s="376"/>
      <c r="BU111" s="376"/>
      <c r="BV111" s="376"/>
      <c r="BW111" s="376"/>
      <c r="BX111" s="376">
        <f>+BX30-BW30</f>
        <v>-31.555188000000271</v>
      </c>
      <c r="BY111" s="376">
        <f>+BY30-BX30</f>
        <v>-42.7287409999999</v>
      </c>
      <c r="BZ111" s="376">
        <f>+BZ30-BY30</f>
        <v>-64.516129032257595</v>
      </c>
      <c r="CA111" s="377"/>
      <c r="CB111" s="377"/>
      <c r="CC111" s="377"/>
      <c r="CD111" s="377"/>
    </row>
    <row r="112" spans="1:82" ht="13.5" customHeight="1">
      <c r="A112" s="260" t="s">
        <v>133</v>
      </c>
      <c r="B112" s="373" t="e">
        <f t="shared" ref="B112:X112" si="378">-B110*1000/B111</f>
        <v>#VALUE!</v>
      </c>
      <c r="C112" s="373">
        <f t="shared" si="378"/>
        <v>0</v>
      </c>
      <c r="D112" s="373">
        <f t="shared" si="378"/>
        <v>0</v>
      </c>
      <c r="E112" s="373">
        <f t="shared" si="378"/>
        <v>-8934450.0000081267</v>
      </c>
      <c r="F112" s="373">
        <f t="shared" si="378"/>
        <v>-234962.52465480368</v>
      </c>
      <c r="G112" s="373" t="e">
        <f t="shared" si="378"/>
        <v>#DIV/0!</v>
      </c>
      <c r="H112" s="373" t="e">
        <f t="shared" si="378"/>
        <v>#DIV/0!</v>
      </c>
      <c r="I112" s="373" t="e">
        <f t="shared" si="378"/>
        <v>#DIV/0!</v>
      </c>
      <c r="J112" s="373" t="e">
        <f t="shared" si="378"/>
        <v>#DIV/0!</v>
      </c>
      <c r="K112" s="373" t="e">
        <f t="shared" si="378"/>
        <v>#DIV/0!</v>
      </c>
      <c r="L112" s="373" t="e">
        <f t="shared" si="378"/>
        <v>#DIV/0!</v>
      </c>
      <c r="M112" s="373" t="e">
        <f t="shared" si="378"/>
        <v>#DIV/0!</v>
      </c>
      <c r="N112" s="373" t="e">
        <f t="shared" si="378"/>
        <v>#DIV/0!</v>
      </c>
      <c r="O112" s="373" t="e">
        <f t="shared" si="378"/>
        <v>#DIV/0!</v>
      </c>
      <c r="P112" s="373" t="e">
        <f t="shared" si="378"/>
        <v>#DIV/0!</v>
      </c>
      <c r="Q112" s="373" t="e">
        <f t="shared" si="378"/>
        <v>#DIV/0!</v>
      </c>
      <c r="R112" s="373" t="e">
        <f t="shared" si="378"/>
        <v>#DIV/0!</v>
      </c>
      <c r="S112" s="373" t="e">
        <f t="shared" si="378"/>
        <v>#DIV/0!</v>
      </c>
      <c r="T112" s="373" t="e">
        <f t="shared" si="378"/>
        <v>#DIV/0!</v>
      </c>
      <c r="U112" s="373" t="e">
        <f t="shared" si="378"/>
        <v>#DIV/0!</v>
      </c>
      <c r="V112" s="373" t="e">
        <f t="shared" si="378"/>
        <v>#DIV/0!</v>
      </c>
      <c r="W112" s="373" t="e">
        <f t="shared" si="378"/>
        <v>#DIV/0!</v>
      </c>
      <c r="X112" s="373" t="e">
        <f t="shared" si="378"/>
        <v>#DIV/0!</v>
      </c>
      <c r="Y112" s="373"/>
      <c r="Z112" s="373"/>
      <c r="AA112" s="373"/>
      <c r="AB112" s="373"/>
      <c r="AC112" s="373"/>
      <c r="AD112" s="373"/>
      <c r="AE112" s="373"/>
      <c r="AF112" s="373"/>
      <c r="AG112" s="373"/>
      <c r="AH112" s="373"/>
      <c r="AI112" s="373"/>
      <c r="AJ112" s="373">
        <f>-AJ110/AJ111</f>
        <v>-32.878836620840303</v>
      </c>
      <c r="AK112" s="373">
        <f>-AK110/AK111</f>
        <v>-28.157066080817522</v>
      </c>
      <c r="AL112" s="373">
        <f>-AL110/AL111</f>
        <v>-31.577149759763468</v>
      </c>
      <c r="AM112" s="373">
        <f t="shared" ref="AM112:AN112" si="379">-AM110/AM111</f>
        <v>-33.453174909644254</v>
      </c>
      <c r="AN112" s="373">
        <f t="shared" si="379"/>
        <v>-35.02931087247805</v>
      </c>
      <c r="AO112" s="373">
        <f t="shared" ref="AO112" si="380">-AO110/AO111</f>
        <v>-33.487259862698586</v>
      </c>
      <c r="AP112" s="374">
        <v>31</v>
      </c>
      <c r="AQ112" s="374">
        <v>31</v>
      </c>
      <c r="AR112" s="374">
        <v>31</v>
      </c>
      <c r="AS112" s="374">
        <v>31</v>
      </c>
      <c r="AU112" s="375">
        <v>31</v>
      </c>
      <c r="AW112" s="373">
        <f t="shared" ref="AW112:BS112" si="381">-AW110*1000/AW111</f>
        <v>14844.711335861779</v>
      </c>
      <c r="AX112" s="373">
        <f t="shared" si="381"/>
        <v>14438.470937336358</v>
      </c>
      <c r="AY112" s="373">
        <f t="shared" si="381"/>
        <v>10372.097629349748</v>
      </c>
      <c r="AZ112" s="373">
        <f t="shared" si="381"/>
        <v>10111.250374649193</v>
      </c>
      <c r="BA112" s="373">
        <f t="shared" si="381"/>
        <v>4878.6623760271514</v>
      </c>
      <c r="BB112" s="373">
        <f t="shared" si="381"/>
        <v>15485.241073143661</v>
      </c>
      <c r="BC112" s="373">
        <f t="shared" si="381"/>
        <v>10303.352353780314</v>
      </c>
      <c r="BD112" s="373">
        <f t="shared" si="381"/>
        <v>17651.167133520074</v>
      </c>
      <c r="BE112" s="373">
        <f t="shared" si="381"/>
        <v>17534.422185677977</v>
      </c>
      <c r="BF112" s="373">
        <f t="shared" si="381"/>
        <v>146316.47901740021</v>
      </c>
      <c r="BG112" s="373">
        <f t="shared" si="381"/>
        <v>25990.064094313886</v>
      </c>
      <c r="BH112" s="373">
        <f t="shared" si="381"/>
        <v>0</v>
      </c>
      <c r="BI112" s="373">
        <f t="shared" si="381"/>
        <v>0</v>
      </c>
      <c r="BJ112" s="373">
        <f t="shared" si="381"/>
        <v>0</v>
      </c>
      <c r="BK112" s="373">
        <f t="shared" si="381"/>
        <v>0</v>
      </c>
      <c r="BL112" s="373">
        <f t="shared" si="381"/>
        <v>0</v>
      </c>
      <c r="BM112" s="373">
        <f t="shared" si="381"/>
        <v>0</v>
      </c>
      <c r="BN112" s="373">
        <f t="shared" si="381"/>
        <v>0</v>
      </c>
      <c r="BO112" s="373">
        <f t="shared" si="381"/>
        <v>73.085329865117643</v>
      </c>
      <c r="BP112" s="373">
        <f t="shared" si="381"/>
        <v>24.794907337031617</v>
      </c>
      <c r="BQ112" s="373" t="e">
        <f t="shared" si="381"/>
        <v>#DIV/0!</v>
      </c>
      <c r="BR112" s="373" t="e">
        <f t="shared" si="381"/>
        <v>#DIV/0!</v>
      </c>
      <c r="BS112" s="373" t="e">
        <f t="shared" si="381"/>
        <v>#DIV/0!</v>
      </c>
      <c r="BT112" s="373"/>
      <c r="BU112" s="373"/>
      <c r="BV112" s="373"/>
      <c r="BW112" s="373"/>
      <c r="BX112" s="373">
        <f>-BX110/BX111</f>
        <v>-30.911176951314363</v>
      </c>
      <c r="BY112" s="373">
        <f>-BY110/BY111</f>
        <v>-33.797813045790498</v>
      </c>
      <c r="BZ112" s="373">
        <f>-BZ110/BZ111</f>
        <v>-31.000000000000224</v>
      </c>
      <c r="CA112" s="625"/>
      <c r="CB112" s="625"/>
      <c r="CC112" s="625"/>
      <c r="CD112" s="625"/>
    </row>
    <row r="113" spans="1:82" s="269" customFormat="1" ht="13.5" customHeight="1">
      <c r="A113" s="269" t="s">
        <v>134</v>
      </c>
      <c r="B113" s="342">
        <v>0</v>
      </c>
      <c r="C113" s="342">
        <v>-1175.452</v>
      </c>
      <c r="D113" s="342">
        <v>1175.452</v>
      </c>
      <c r="E113" s="342">
        <v>-5742.7809999999999</v>
      </c>
      <c r="F113" s="342">
        <v>-5742.7809999999999</v>
      </c>
      <c r="G113" s="342">
        <v>0</v>
      </c>
      <c r="H113" s="342">
        <v>0</v>
      </c>
      <c r="I113" s="342">
        <v>0</v>
      </c>
      <c r="J113" s="342">
        <v>0</v>
      </c>
      <c r="K113" s="342">
        <v>0</v>
      </c>
      <c r="L113" s="342">
        <v>0</v>
      </c>
      <c r="M113" s="342">
        <v>0</v>
      </c>
      <c r="N113" s="342">
        <v>0</v>
      </c>
      <c r="O113" s="342">
        <v>0</v>
      </c>
      <c r="P113" s="342">
        <v>0</v>
      </c>
      <c r="Q113" s="342">
        <v>0</v>
      </c>
      <c r="R113" s="342">
        <v>0</v>
      </c>
      <c r="S113" s="342">
        <v>0</v>
      </c>
      <c r="T113" s="342">
        <v>0</v>
      </c>
      <c r="U113" s="342">
        <v>0</v>
      </c>
      <c r="V113" s="342">
        <f>-0.43*V30</f>
        <v>-1326.5207599999999</v>
      </c>
      <c r="W113" s="342">
        <f>-0.43*W30</f>
        <v>-1326.5207599999999</v>
      </c>
      <c r="X113" s="342">
        <f>-0.43*X30</f>
        <v>-1326.5207599999999</v>
      </c>
      <c r="Y113" s="342">
        <f>-0.43*Y30</f>
        <v>-1326.5207599999999</v>
      </c>
      <c r="Z113" s="342">
        <f>-0.41*Z30</f>
        <v>-1264.8221199999998</v>
      </c>
      <c r="AA113" s="342">
        <f>-2520.479-Z113</f>
        <v>-1255.65688</v>
      </c>
      <c r="AB113" s="342">
        <v>0</v>
      </c>
      <c r="AC113" s="342">
        <f>-5043.217-AB113-AA113-Z113</f>
        <v>-2522.7379999999998</v>
      </c>
      <c r="AD113" s="342">
        <v>0</v>
      </c>
      <c r="AE113" s="342">
        <f>-1244.871-AD113</f>
        <v>-1244.8710000000001</v>
      </c>
      <c r="AF113" s="342">
        <f>-2489.742-AE113-AD113</f>
        <v>-1244.8710000000001</v>
      </c>
      <c r="AG113" s="342">
        <f>-4981.715-AF113-AE113-AD113</f>
        <v>-2491.973</v>
      </c>
      <c r="AH113" s="342">
        <v>0</v>
      </c>
      <c r="AI113" s="342">
        <f>-1429.296-AH113</f>
        <v>-1429.296</v>
      </c>
      <c r="AJ113" s="342">
        <f>-2858.593-AI113-AH113</f>
        <v>-1429.2969999999998</v>
      </c>
      <c r="AK113" s="342">
        <f>-5719.747-AJ113-AI113-AH113</f>
        <v>-2861.1540000000005</v>
      </c>
      <c r="AL113" s="342">
        <v>0</v>
      </c>
      <c r="AM113" s="342">
        <f>-1551.522-AL113</f>
        <v>-1551.5219999999999</v>
      </c>
      <c r="AN113" s="342">
        <f>-3103.044-AM113-AL113</f>
        <v>-1551.5219999999999</v>
      </c>
      <c r="AO113" s="342">
        <f>-6208.898-AN113-AM113-AL113</f>
        <v>-3105.8540000000003</v>
      </c>
      <c r="AP113" s="343">
        <f t="shared" ref="AP113:AS113" si="382">+AL113*(1+AP115)</f>
        <v>0</v>
      </c>
      <c r="AQ113" s="343">
        <f t="shared" si="382"/>
        <v>-1691.1589800000002</v>
      </c>
      <c r="AR113" s="343">
        <f t="shared" si="382"/>
        <v>-1691.1589800000002</v>
      </c>
      <c r="AS113" s="343">
        <f t="shared" si="382"/>
        <v>-3385.3808600000007</v>
      </c>
      <c r="AU113" s="343">
        <v>-3118.6578600000007</v>
      </c>
      <c r="AW113" s="342">
        <v>-1321.1379999999999</v>
      </c>
      <c r="AX113" s="342">
        <v>-2284.8690000000001</v>
      </c>
      <c r="AY113" s="342">
        <v>-1805.229</v>
      </c>
      <c r="AZ113" s="342">
        <v>-2018.663</v>
      </c>
      <c r="BA113" s="342">
        <v>-2198.8240000000001</v>
      </c>
      <c r="BB113" s="342">
        <v>-2333.547</v>
      </c>
      <c r="BC113" s="342">
        <v>-2347.8000000000002</v>
      </c>
      <c r="BD113" s="342">
        <v>-2416.9670000000001</v>
      </c>
      <c r="BE113" s="342">
        <v>-2605.0189999999998</v>
      </c>
      <c r="BF113" s="342">
        <v>-5742.7809999999999</v>
      </c>
      <c r="BG113" s="342">
        <v>-3027.9160000000002</v>
      </c>
      <c r="BH113" s="342">
        <v>-3048.7510000000002</v>
      </c>
      <c r="BI113" s="342">
        <v>-3207.6179999999999</v>
      </c>
      <c r="BJ113" s="342">
        <v>-3455.6019999999999</v>
      </c>
      <c r="BK113" s="342">
        <v>-3606.2750000000001</v>
      </c>
      <c r="BL113" s="342">
        <v>-3784.2350000000001</v>
      </c>
      <c r="BM113" s="342">
        <v>-4146.2579999999998</v>
      </c>
      <c r="BN113" s="342">
        <v>-4377.6000000000004</v>
      </c>
      <c r="BO113" s="342">
        <v>-4583.0230000000001</v>
      </c>
      <c r="BP113" s="342">
        <v>-4703.8990000000003</v>
      </c>
      <c r="BQ113" s="342">
        <v>-4874.1930000000002</v>
      </c>
      <c r="BR113" s="342">
        <f>-0.395*4*BR30</f>
        <v>-4874.1925599999995</v>
      </c>
      <c r="BS113" s="342">
        <f>-0.3875*4*BS30</f>
        <v>-4781.6445999999996</v>
      </c>
      <c r="BT113" s="342">
        <f>-0.4*4*BT30</f>
        <v>-4935.8912</v>
      </c>
      <c r="BU113" s="342">
        <f>-0.4*4*BU30</f>
        <v>-4935.8912</v>
      </c>
      <c r="BV113" s="342">
        <f>-0.4*4*BV30</f>
        <v>-4920.2121568000002</v>
      </c>
      <c r="BW113" s="342">
        <f>-0.4*4*BW30</f>
        <v>-4920.2121568000002</v>
      </c>
      <c r="BX113" s="342">
        <f>+SUMIFS($B113:$AO113,$B$1:$AO$1,"="&amp;BX$1)</f>
        <v>-5719.7470000000003</v>
      </c>
      <c r="BY113" s="342">
        <f>+SUMIFS($B113:$AS113,$B$1:$AS$1,"="&amp;BY$1)</f>
        <v>-6208.8980000000001</v>
      </c>
      <c r="BZ113" s="342">
        <f>+SUMIFS($B113:$AS113,$B$1:$AS$1,"="&amp;BZ$1)</f>
        <v>-6767.6988200000014</v>
      </c>
      <c r="CA113" s="343">
        <f t="shared" ref="CA113:CD113" si="383">-CA114*BZ27</f>
        <v>-6488.016281865539</v>
      </c>
      <c r="CB113" s="343">
        <f t="shared" si="383"/>
        <v>-6498.533621361823</v>
      </c>
      <c r="CC113" s="343">
        <f t="shared" si="383"/>
        <v>-6522.3760016740653</v>
      </c>
      <c r="CD113" s="343">
        <f t="shared" si="383"/>
        <v>-6542.9101656885587</v>
      </c>
    </row>
    <row r="114" spans="1:82" ht="13.5" customHeight="1">
      <c r="A114" s="260" t="s">
        <v>135</v>
      </c>
      <c r="B114" s="248">
        <f t="shared" ref="B114:AJ114" si="384">-B113/B27</f>
        <v>0</v>
      </c>
      <c r="C114" s="248">
        <f t="shared" si="384"/>
        <v>0.99779042574413002</v>
      </c>
      <c r="D114" s="248">
        <f t="shared" si="384"/>
        <v>-0.8953682699910267</v>
      </c>
      <c r="E114" s="248">
        <f t="shared" si="384"/>
        <v>4.8141304265819231</v>
      </c>
      <c r="F114" s="248">
        <f t="shared" si="384"/>
        <v>5.2449416351223954</v>
      </c>
      <c r="G114" s="248">
        <f t="shared" si="384"/>
        <v>0</v>
      </c>
      <c r="H114" s="248">
        <f t="shared" si="384"/>
        <v>0</v>
      </c>
      <c r="I114" s="248">
        <f t="shared" si="384"/>
        <v>0</v>
      </c>
      <c r="J114" s="248">
        <f t="shared" si="384"/>
        <v>0</v>
      </c>
      <c r="K114" s="248">
        <f t="shared" si="384"/>
        <v>0</v>
      </c>
      <c r="L114" s="248">
        <f t="shared" si="384"/>
        <v>0</v>
      </c>
      <c r="M114" s="248">
        <f t="shared" si="384"/>
        <v>0</v>
      </c>
      <c r="N114" s="248">
        <f t="shared" si="384"/>
        <v>0</v>
      </c>
      <c r="O114" s="248">
        <f t="shared" si="384"/>
        <v>0</v>
      </c>
      <c r="P114" s="248">
        <f t="shared" si="384"/>
        <v>0</v>
      </c>
      <c r="Q114" s="248">
        <f t="shared" si="384"/>
        <v>0</v>
      </c>
      <c r="R114" s="248">
        <f t="shared" si="384"/>
        <v>0</v>
      </c>
      <c r="S114" s="248">
        <f t="shared" si="384"/>
        <v>0</v>
      </c>
      <c r="T114" s="248">
        <f t="shared" si="384"/>
        <v>0</v>
      </c>
      <c r="U114" s="248">
        <f t="shared" si="384"/>
        <v>0</v>
      </c>
      <c r="V114" s="248">
        <f t="shared" si="384"/>
        <v>0.82793809504193616</v>
      </c>
      <c r="W114" s="248">
        <f t="shared" si="384"/>
        <v>1.085334476605333</v>
      </c>
      <c r="X114" s="248">
        <f t="shared" si="384"/>
        <v>1.509191829899166</v>
      </c>
      <c r="Y114" s="248">
        <f t="shared" si="384"/>
        <v>1.6781078475773143</v>
      </c>
      <c r="Z114" s="248">
        <f t="shared" si="384"/>
        <v>1.1590081526843741</v>
      </c>
      <c r="AA114" s="248">
        <f t="shared" si="384"/>
        <v>1.0682650327500798</v>
      </c>
      <c r="AB114" s="248">
        <f t="shared" si="384"/>
        <v>0</v>
      </c>
      <c r="AC114" s="248">
        <f t="shared" si="384"/>
        <v>1.7733889516868269</v>
      </c>
      <c r="AD114" s="248">
        <f t="shared" si="384"/>
        <v>0</v>
      </c>
      <c r="AE114" s="248">
        <f t="shared" si="384"/>
        <v>0.69185367640234352</v>
      </c>
      <c r="AF114" s="248">
        <f t="shared" si="384"/>
        <v>0.74508061171172657</v>
      </c>
      <c r="AG114" s="248">
        <f t="shared" si="384"/>
        <v>1.2909730374355148</v>
      </c>
      <c r="AH114" s="248">
        <f t="shared" si="384"/>
        <v>0</v>
      </c>
      <c r="AI114" s="248">
        <f t="shared" si="384"/>
        <v>0.66998040631123024</v>
      </c>
      <c r="AJ114" s="248">
        <f t="shared" si="384"/>
        <v>0.78345586379273535</v>
      </c>
      <c r="AK114" s="248">
        <f t="shared" ref="AK114:AL114" si="385">-AK113/AK27</f>
        <v>1.5970619214729915</v>
      </c>
      <c r="AL114" s="248">
        <f t="shared" si="385"/>
        <v>0</v>
      </c>
      <c r="AM114" s="248">
        <f t="shared" ref="AM114:AN114" si="386">-AM113/AM27</f>
        <v>0.83141821377567826</v>
      </c>
      <c r="AN114" s="248">
        <f t="shared" si="386"/>
        <v>0.92470785546511547</v>
      </c>
      <c r="AO114" s="248">
        <f t="shared" ref="AO114" si="387">-AO113/AO27</f>
        <v>1.4147169362696093</v>
      </c>
      <c r="AP114" s="248">
        <f t="shared" ref="AP114:AS114" si="388">-AP113/AP27</f>
        <v>0</v>
      </c>
      <c r="AQ114" s="248">
        <f t="shared" si="388"/>
        <v>0.78958783429316659</v>
      </c>
      <c r="AR114" s="248">
        <f t="shared" si="388"/>
        <v>0.91207605155512994</v>
      </c>
      <c r="AS114" s="248">
        <f t="shared" si="388"/>
        <v>1.5820065272167567</v>
      </c>
      <c r="AU114" s="297">
        <v>1.6237567745031327</v>
      </c>
      <c r="AW114" s="248">
        <f t="shared" ref="AW114:BS114" si="389">-AW113/AW27</f>
        <v>0.67602703416317489</v>
      </c>
      <c r="AX114" s="248">
        <f t="shared" si="389"/>
        <v>1.2135059000481179</v>
      </c>
      <c r="AY114" s="248">
        <f t="shared" si="389"/>
        <v>0.70275542503134769</v>
      </c>
      <c r="AZ114" s="248">
        <f t="shared" si="389"/>
        <v>0.71678857775915594</v>
      </c>
      <c r="BA114" s="248">
        <f t="shared" si="389"/>
        <v>0.86552369555847264</v>
      </c>
      <c r="BB114" s="248">
        <f t="shared" si="389"/>
        <v>1.2060060839158671</v>
      </c>
      <c r="BC114" s="248">
        <f t="shared" si="389"/>
        <v>1.2619771728228211</v>
      </c>
      <c r="BD114" s="248">
        <f t="shared" si="389"/>
        <v>0.914000009075838</v>
      </c>
      <c r="BE114" s="248">
        <f t="shared" si="389"/>
        <v>1.0245553246007504</v>
      </c>
      <c r="BF114" s="248">
        <f t="shared" si="389"/>
        <v>1.6937149365813307</v>
      </c>
      <c r="BG114" s="248">
        <f t="shared" si="389"/>
        <v>0.84010532127706194</v>
      </c>
      <c r="BH114" s="248">
        <f t="shared" si="389"/>
        <v>0.60142111892402095</v>
      </c>
      <c r="BI114" s="248">
        <f t="shared" si="389"/>
        <v>0.60789335886486306</v>
      </c>
      <c r="BJ114" s="248">
        <f t="shared" si="389"/>
        <v>0.65798343313072993</v>
      </c>
      <c r="BK114" s="248">
        <f t="shared" si="389"/>
        <v>0.86771798669167399</v>
      </c>
      <c r="BL114" s="248">
        <f t="shared" si="389"/>
        <v>0.92562239593142792</v>
      </c>
      <c r="BM114" s="248">
        <f t="shared" si="389"/>
        <v>0.90180839830220039</v>
      </c>
      <c r="BN114" s="248">
        <f t="shared" si="389"/>
        <v>1.2351733209785911</v>
      </c>
      <c r="BO114" s="248">
        <f t="shared" si="389"/>
        <v>1.0586671440616298</v>
      </c>
      <c r="BP114" s="248">
        <f t="shared" si="389"/>
        <v>0.98129450628081671</v>
      </c>
      <c r="BQ114" s="248">
        <f t="shared" si="389"/>
        <v>1.1985654671892967</v>
      </c>
      <c r="BR114" s="248">
        <f t="shared" si="389"/>
        <v>1.1566044535817483</v>
      </c>
      <c r="BS114" s="248">
        <f t="shared" si="389"/>
        <v>0.92994489540551251</v>
      </c>
      <c r="BT114" s="248">
        <f t="shared" ref="BT114:BX114" si="390">-BT113/BS27</f>
        <v>0.9599431178379485</v>
      </c>
      <c r="BU114" s="248">
        <f t="shared" si="390"/>
        <v>0.79284190615217709</v>
      </c>
      <c r="BV114" s="248">
        <f t="shared" si="390"/>
        <v>1.0948724254473006</v>
      </c>
      <c r="BW114" s="248">
        <f t="shared" si="390"/>
        <v>0.9971550198713065</v>
      </c>
      <c r="BX114" s="248">
        <f t="shared" si="390"/>
        <v>0.81561006980761674</v>
      </c>
      <c r="BY114" s="248">
        <f>-BY113/BX27</f>
        <v>0.79288543411561041</v>
      </c>
      <c r="BZ114" s="248">
        <f>-BZ113/BY27</f>
        <v>0.89299364901254419</v>
      </c>
      <c r="CA114" s="626">
        <v>0.8</v>
      </c>
      <c r="CB114" s="626">
        <v>0.8</v>
      </c>
      <c r="CC114" s="626">
        <v>0.8</v>
      </c>
      <c r="CD114" s="626">
        <v>0.8</v>
      </c>
    </row>
    <row r="115" spans="1:82" ht="13.5" customHeight="1">
      <c r="A115" s="260" t="s">
        <v>136</v>
      </c>
      <c r="B115" s="248" t="e">
        <f>+B113/#REF!-1</f>
        <v>#REF!</v>
      </c>
      <c r="C115" s="248" t="e">
        <f>+C113/#REF!-1</f>
        <v>#REF!</v>
      </c>
      <c r="D115" s="248" t="e">
        <f>+D113/#REF!-1</f>
        <v>#REF!</v>
      </c>
      <c r="E115" s="248" t="e">
        <f t="shared" ref="E115:AI115" si="391">+E113/A113-1</f>
        <v>#VALUE!</v>
      </c>
      <c r="F115" s="248" t="e">
        <f t="shared" si="391"/>
        <v>#DIV/0!</v>
      </c>
      <c r="G115" s="248">
        <f t="shared" si="391"/>
        <v>-1</v>
      </c>
      <c r="H115" s="248">
        <f t="shared" si="391"/>
        <v>-1</v>
      </c>
      <c r="I115" s="248">
        <f t="shared" si="391"/>
        <v>-1</v>
      </c>
      <c r="J115" s="248">
        <f t="shared" si="391"/>
        <v>-1</v>
      </c>
      <c r="K115" s="248" t="e">
        <f t="shared" si="391"/>
        <v>#DIV/0!</v>
      </c>
      <c r="L115" s="248" t="e">
        <f t="shared" si="391"/>
        <v>#DIV/0!</v>
      </c>
      <c r="M115" s="248" t="e">
        <f t="shared" si="391"/>
        <v>#DIV/0!</v>
      </c>
      <c r="N115" s="248" t="e">
        <f t="shared" si="391"/>
        <v>#DIV/0!</v>
      </c>
      <c r="O115" s="248" t="e">
        <f t="shared" si="391"/>
        <v>#DIV/0!</v>
      </c>
      <c r="P115" s="248" t="e">
        <f t="shared" si="391"/>
        <v>#DIV/0!</v>
      </c>
      <c r="Q115" s="248" t="e">
        <f t="shared" si="391"/>
        <v>#DIV/0!</v>
      </c>
      <c r="R115" s="248" t="e">
        <f t="shared" si="391"/>
        <v>#DIV/0!</v>
      </c>
      <c r="S115" s="248" t="e">
        <f t="shared" si="391"/>
        <v>#DIV/0!</v>
      </c>
      <c r="T115" s="248" t="e">
        <f t="shared" si="391"/>
        <v>#DIV/0!</v>
      </c>
      <c r="U115" s="248" t="e">
        <f t="shared" si="391"/>
        <v>#DIV/0!</v>
      </c>
      <c r="V115" s="248" t="e">
        <f t="shared" si="391"/>
        <v>#DIV/0!</v>
      </c>
      <c r="W115" s="248" t="e">
        <f t="shared" si="391"/>
        <v>#DIV/0!</v>
      </c>
      <c r="X115" s="248" t="e">
        <f t="shared" si="391"/>
        <v>#DIV/0!</v>
      </c>
      <c r="Y115" s="248" t="e">
        <f t="shared" si="391"/>
        <v>#DIV/0!</v>
      </c>
      <c r="Z115" s="248">
        <f t="shared" si="391"/>
        <v>-4.6511627906976827E-2</v>
      </c>
      <c r="AA115" s="248">
        <f t="shared" si="391"/>
        <v>-5.3420860145452886E-2</v>
      </c>
      <c r="AB115" s="248">
        <f t="shared" si="391"/>
        <v>-1</v>
      </c>
      <c r="AC115" s="248">
        <f t="shared" si="391"/>
        <v>0.90177046305705777</v>
      </c>
      <c r="AD115" s="248">
        <f t="shared" si="391"/>
        <v>-1</v>
      </c>
      <c r="AE115" s="248">
        <f t="shared" si="391"/>
        <v>-8.5898306868671392E-3</v>
      </c>
      <c r="AF115" s="248" t="e">
        <f t="shared" si="391"/>
        <v>#DIV/0!</v>
      </c>
      <c r="AG115" s="248">
        <f t="shared" si="391"/>
        <v>-1.2195083278564778E-2</v>
      </c>
      <c r="AH115" s="248" t="e">
        <f t="shared" si="391"/>
        <v>#DIV/0!</v>
      </c>
      <c r="AI115" s="248">
        <f t="shared" si="391"/>
        <v>0.1481478803827867</v>
      </c>
      <c r="AJ115" s="248">
        <f t="shared" ref="AJ115:AO115" si="392">+AJ113/AF113-1</f>
        <v>0.1481486836788708</v>
      </c>
      <c r="AK115" s="248">
        <f t="shared" si="392"/>
        <v>0.14814807383547124</v>
      </c>
      <c r="AL115" s="248" t="e">
        <f t="shared" si="392"/>
        <v>#DIV/0!</v>
      </c>
      <c r="AM115" s="248">
        <f t="shared" si="392"/>
        <v>8.5514826879806494E-2</v>
      </c>
      <c r="AN115" s="248">
        <f t="shared" si="392"/>
        <v>8.5514067405165095E-2</v>
      </c>
      <c r="AO115" s="248">
        <f t="shared" si="392"/>
        <v>8.5524931548598859E-2</v>
      </c>
      <c r="AP115" s="364">
        <v>0.09</v>
      </c>
      <c r="AQ115" s="364">
        <v>0.09</v>
      </c>
      <c r="AR115" s="364">
        <v>0.09</v>
      </c>
      <c r="AS115" s="364">
        <v>0.09</v>
      </c>
      <c r="AU115" s="297">
        <v>0.09</v>
      </c>
      <c r="AW115" s="248"/>
      <c r="AX115" s="248"/>
      <c r="AY115" s="248"/>
      <c r="AZ115" s="248"/>
      <c r="BA115" s="248"/>
      <c r="BB115" s="248"/>
      <c r="BC115" s="248"/>
      <c r="BD115" s="248"/>
      <c r="BE115" s="248"/>
      <c r="BF115" s="248"/>
      <c r="BG115" s="248"/>
      <c r="BH115" s="248"/>
      <c r="BI115" s="248"/>
      <c r="BJ115" s="248"/>
      <c r="BK115" s="248"/>
      <c r="BL115" s="248"/>
      <c r="BM115" s="248"/>
      <c r="BN115" s="248"/>
      <c r="BO115" s="248"/>
      <c r="BP115" s="248"/>
      <c r="BQ115" s="248"/>
      <c r="BR115" s="248"/>
      <c r="BS115" s="248"/>
      <c r="BT115" s="248"/>
      <c r="BU115" s="246">
        <f>+BU113/BT113-1</f>
        <v>0</v>
      </c>
      <c r="BV115" s="246">
        <f t="shared" ref="BV115:CD115" si="393">+BV113/BU113-1</f>
        <v>-3.1765374406955704E-3</v>
      </c>
      <c r="BW115" s="246">
        <f t="shared" si="393"/>
        <v>0</v>
      </c>
      <c r="BX115" s="246">
        <f t="shared" si="393"/>
        <v>0.16250007473661476</v>
      </c>
      <c r="BY115" s="246">
        <f>+BY113/BX113-1</f>
        <v>8.5519691692657052E-2</v>
      </c>
      <c r="BZ115" s="246">
        <f>+BZ113/BY113-1</f>
        <v>9.0000000000000302E-2</v>
      </c>
      <c r="CA115" s="277">
        <f t="shared" si="393"/>
        <v>-4.1326091123904729E-2</v>
      </c>
      <c r="CB115" s="277">
        <f t="shared" si="393"/>
        <v>1.6210408604677706E-3</v>
      </c>
      <c r="CC115" s="277">
        <f t="shared" si="393"/>
        <v>3.6688861982445697E-3</v>
      </c>
      <c r="CD115" s="277">
        <f t="shared" si="393"/>
        <v>3.1482643762370532E-3</v>
      </c>
    </row>
    <row r="116" spans="1:82" ht="13.5" customHeight="1">
      <c r="A116" s="319" t="s">
        <v>137</v>
      </c>
      <c r="B116" s="363">
        <f t="shared" ref="B116:AJ116" si="394">+B113/B30</f>
        <v>0</v>
      </c>
      <c r="C116" s="363">
        <f t="shared" si="394"/>
        <v>-0.38059683128462102</v>
      </c>
      <c r="D116" s="363">
        <f t="shared" si="394"/>
        <v>0.3806448980490626</v>
      </c>
      <c r="E116" s="363">
        <f t="shared" si="394"/>
        <v>-1.859724531359396</v>
      </c>
      <c r="F116" s="363">
        <f t="shared" si="394"/>
        <v>-1.8615583747064766</v>
      </c>
      <c r="G116" s="363">
        <f t="shared" si="394"/>
        <v>0</v>
      </c>
      <c r="H116" s="363">
        <f t="shared" si="394"/>
        <v>0</v>
      </c>
      <c r="I116" s="363">
        <f t="shared" si="394"/>
        <v>0</v>
      </c>
      <c r="J116" s="363">
        <f t="shared" si="394"/>
        <v>0</v>
      </c>
      <c r="K116" s="363">
        <f t="shared" si="394"/>
        <v>0</v>
      </c>
      <c r="L116" s="363">
        <f t="shared" si="394"/>
        <v>0</v>
      </c>
      <c r="M116" s="363">
        <f t="shared" si="394"/>
        <v>0</v>
      </c>
      <c r="N116" s="363">
        <f t="shared" si="394"/>
        <v>0</v>
      </c>
      <c r="O116" s="363">
        <f t="shared" si="394"/>
        <v>0</v>
      </c>
      <c r="P116" s="363">
        <f t="shared" si="394"/>
        <v>0</v>
      </c>
      <c r="Q116" s="363">
        <f t="shared" si="394"/>
        <v>0</v>
      </c>
      <c r="R116" s="363">
        <f t="shared" si="394"/>
        <v>0</v>
      </c>
      <c r="S116" s="363">
        <f t="shared" si="394"/>
        <v>0</v>
      </c>
      <c r="T116" s="363">
        <f t="shared" si="394"/>
        <v>0</v>
      </c>
      <c r="U116" s="363">
        <f t="shared" si="394"/>
        <v>0</v>
      </c>
      <c r="V116" s="363">
        <f t="shared" si="394"/>
        <v>-0.43</v>
      </c>
      <c r="W116" s="363">
        <f t="shared" si="394"/>
        <v>-0.43</v>
      </c>
      <c r="X116" s="363">
        <f t="shared" si="394"/>
        <v>-0.43</v>
      </c>
      <c r="Y116" s="363">
        <f t="shared" si="394"/>
        <v>-0.43</v>
      </c>
      <c r="Z116" s="363">
        <f t="shared" si="394"/>
        <v>-0.41</v>
      </c>
      <c r="AA116" s="363">
        <f t="shared" si="394"/>
        <v>-0.40702903013745523</v>
      </c>
      <c r="AB116" s="363">
        <f t="shared" si="394"/>
        <v>0</v>
      </c>
      <c r="AC116" s="363">
        <f t="shared" si="394"/>
        <v>-0.82036722632407266</v>
      </c>
      <c r="AD116" s="363">
        <f t="shared" si="394"/>
        <v>0</v>
      </c>
      <c r="AE116" s="363">
        <f t="shared" si="394"/>
        <v>-0.40481864125457134</v>
      </c>
      <c r="AF116" s="363">
        <f t="shared" si="394"/>
        <v>-0.40481864125457134</v>
      </c>
      <c r="AG116" s="363">
        <f t="shared" si="394"/>
        <v>-0.81036277968004544</v>
      </c>
      <c r="AH116" s="363">
        <f t="shared" si="394"/>
        <v>0</v>
      </c>
      <c r="AI116" s="363">
        <f t="shared" si="394"/>
        <v>-0.46479166489587581</v>
      </c>
      <c r="AJ116" s="363">
        <f t="shared" si="394"/>
        <v>-0.46759064453496768</v>
      </c>
      <c r="AK116" s="363">
        <f t="shared" ref="AK116:AL116" si="395">+AK113/AK30</f>
        <v>-0.94006283217879472</v>
      </c>
      <c r="AL116" s="363">
        <f t="shared" si="395"/>
        <v>0</v>
      </c>
      <c r="AM116" s="363">
        <f t="shared" ref="AM116:AN116" si="396">+AM113/AM30</f>
        <v>-0.51266528093878927</v>
      </c>
      <c r="AN116" s="363">
        <f t="shared" si="396"/>
        <v>-0.51533435358411939</v>
      </c>
      <c r="AO116" s="363">
        <f t="shared" ref="AO116" si="397">+AO113/AO30</f>
        <v>-1.0349918781592515</v>
      </c>
      <c r="AP116" s="363">
        <f t="shared" ref="AP116:AS116" si="398">+AP113/AP30</f>
        <v>0</v>
      </c>
      <c r="AQ116" s="363">
        <f t="shared" si="398"/>
        <v>-0.569684138138014</v>
      </c>
      <c r="AR116" s="363">
        <f t="shared" si="398"/>
        <v>-0.57279627139230349</v>
      </c>
      <c r="AS116" s="363">
        <f t="shared" si="398"/>
        <v>-1.1529282919833022</v>
      </c>
      <c r="AU116" s="308">
        <v>-1.0414340046391442</v>
      </c>
      <c r="AW116" s="269"/>
      <c r="AX116" s="269"/>
      <c r="AY116" s="269"/>
      <c r="AZ116" s="269"/>
      <c r="BA116" s="269"/>
      <c r="BB116" s="269"/>
      <c r="BC116" s="269"/>
      <c r="BD116" s="269"/>
      <c r="BE116" s="269"/>
      <c r="BF116" s="269"/>
      <c r="BG116" s="269"/>
      <c r="BH116" s="269"/>
      <c r="BI116" s="269"/>
      <c r="BJ116" s="269"/>
      <c r="BK116" s="269"/>
      <c r="BL116" s="269"/>
      <c r="BM116" s="269"/>
      <c r="BN116" s="269"/>
      <c r="BO116" s="269"/>
      <c r="BP116" s="269"/>
      <c r="BQ116" s="269"/>
      <c r="BR116" s="269"/>
      <c r="BS116" s="269"/>
      <c r="BT116" s="363">
        <f t="shared" ref="BT116:CD116" si="399">+BT113/BT30</f>
        <v>-1.6</v>
      </c>
      <c r="BU116" s="363">
        <f t="shared" si="399"/>
        <v>-1.6</v>
      </c>
      <c r="BV116" s="363">
        <f t="shared" si="399"/>
        <v>-1.6</v>
      </c>
      <c r="BW116" s="363">
        <f t="shared" si="399"/>
        <v>-1.6</v>
      </c>
      <c r="BX116" s="363">
        <f t="shared" si="399"/>
        <v>-1.8792842203412203</v>
      </c>
      <c r="BY116" s="363">
        <f t="shared" si="399"/>
        <v>-2.0690473545502206</v>
      </c>
      <c r="BZ116" s="363">
        <f t="shared" ref="BZ116" si="400">+BZ113/BZ30</f>
        <v>-2.3048134800407687</v>
      </c>
      <c r="CA116" s="627">
        <f t="shared" si="399"/>
        <v>-2.209564548141</v>
      </c>
      <c r="CB116" s="627">
        <f t="shared" si="399"/>
        <v>-2.2131463425573772</v>
      </c>
      <c r="CC116" s="627">
        <f t="shared" si="399"/>
        <v>-2.2212661246282814</v>
      </c>
      <c r="CD116" s="627">
        <f t="shared" si="399"/>
        <v>-2.2282592576385905</v>
      </c>
    </row>
    <row r="117" spans="1:82" ht="13.5" customHeight="1">
      <c r="A117" s="319"/>
      <c r="B117" s="269"/>
      <c r="C117" s="269"/>
      <c r="D117" s="269"/>
      <c r="E117" s="269"/>
      <c r="F117" s="269"/>
      <c r="G117" s="269"/>
      <c r="H117" s="269"/>
      <c r="I117" s="269"/>
      <c r="J117" s="269"/>
      <c r="K117" s="269"/>
      <c r="L117" s="269"/>
      <c r="M117" s="269"/>
      <c r="N117" s="269"/>
      <c r="O117" s="269"/>
      <c r="P117" s="269"/>
      <c r="Q117" s="269"/>
      <c r="R117" s="269"/>
      <c r="S117" s="269"/>
      <c r="T117" s="269"/>
      <c r="U117" s="269"/>
      <c r="V117" s="269"/>
      <c r="W117" s="269"/>
      <c r="X117" s="269"/>
      <c r="Y117" s="269"/>
      <c r="Z117" s="269"/>
      <c r="AA117" s="269"/>
      <c r="AB117" s="269"/>
      <c r="AC117" s="269"/>
      <c r="AD117" s="269"/>
      <c r="AE117" s="269"/>
      <c r="AF117" s="269"/>
      <c r="AG117" s="269"/>
      <c r="AH117" s="269"/>
      <c r="AI117" s="363"/>
      <c r="AJ117" s="363"/>
      <c r="AK117" s="363"/>
      <c r="AL117" s="363"/>
      <c r="AM117" s="363"/>
      <c r="AN117" s="363"/>
      <c r="AO117" s="363"/>
      <c r="AP117" s="308"/>
      <c r="AQ117" s="308"/>
      <c r="AR117" s="308"/>
      <c r="AS117" s="308"/>
      <c r="AU117" s="308"/>
      <c r="AW117" s="269"/>
      <c r="AX117" s="269"/>
      <c r="AY117" s="269"/>
      <c r="AZ117" s="269"/>
      <c r="BA117" s="269"/>
      <c r="BB117" s="269"/>
      <c r="BC117" s="269"/>
      <c r="BD117" s="269"/>
      <c r="BE117" s="269"/>
      <c r="BF117" s="269"/>
      <c r="BG117" s="269"/>
      <c r="BH117" s="269"/>
      <c r="BI117" s="269"/>
      <c r="BJ117" s="269"/>
      <c r="BK117" s="269"/>
      <c r="BL117" s="269"/>
      <c r="BM117" s="269"/>
      <c r="BN117" s="269"/>
      <c r="BO117" s="269"/>
      <c r="BP117" s="269"/>
      <c r="BQ117" s="269"/>
      <c r="BR117" s="269"/>
      <c r="BS117" s="269"/>
      <c r="BT117" s="269"/>
      <c r="BU117" s="269"/>
      <c r="BV117" s="363"/>
      <c r="BW117" s="363"/>
      <c r="BX117" s="363"/>
      <c r="BY117" s="380">
        <f>+BY116/BX116-1</f>
        <v>0.10097628243509926</v>
      </c>
      <c r="BZ117" s="380">
        <f>+BZ116/BY116-1</f>
        <v>0.11394912009725378</v>
      </c>
      <c r="CA117" s="628">
        <f t="shared" ref="CA117:CD117" si="401">+CA116/BZ116-1</f>
        <v>-4.1326091123904729E-2</v>
      </c>
      <c r="CB117" s="628">
        <f t="shared" si="401"/>
        <v>1.6210408604675486E-3</v>
      </c>
      <c r="CC117" s="628">
        <f t="shared" si="401"/>
        <v>3.6688861982445697E-3</v>
      </c>
      <c r="CD117" s="628">
        <f t="shared" si="401"/>
        <v>3.1482643762368312E-3</v>
      </c>
    </row>
    <row r="118" spans="1:82" ht="13.5" customHeight="1">
      <c r="A118" s="319"/>
      <c r="B118" s="269"/>
      <c r="C118" s="269"/>
      <c r="D118" s="269"/>
      <c r="E118" s="269"/>
      <c r="F118" s="269"/>
      <c r="G118" s="269"/>
      <c r="H118" s="269"/>
      <c r="I118" s="269"/>
      <c r="J118" s="269"/>
      <c r="K118" s="269"/>
      <c r="L118" s="269"/>
      <c r="M118" s="269"/>
      <c r="N118" s="269"/>
      <c r="O118" s="269"/>
      <c r="P118" s="269"/>
      <c r="Q118" s="269"/>
      <c r="R118" s="269"/>
      <c r="S118" s="269"/>
      <c r="T118" s="269"/>
      <c r="U118" s="269"/>
      <c r="V118" s="269"/>
      <c r="W118" s="269"/>
      <c r="X118" s="269"/>
      <c r="Y118" s="269"/>
      <c r="Z118" s="269"/>
      <c r="AA118" s="269"/>
      <c r="AB118" s="269"/>
      <c r="AC118" s="269"/>
      <c r="AD118" s="269"/>
      <c r="AE118" s="269"/>
      <c r="AF118" s="269"/>
      <c r="AG118" s="269"/>
      <c r="AH118" s="269"/>
      <c r="AI118" s="363"/>
      <c r="AJ118" s="363"/>
      <c r="AK118" s="363"/>
      <c r="AL118" s="363"/>
      <c r="AM118" s="363"/>
      <c r="AN118" s="363"/>
      <c r="AO118" s="363"/>
      <c r="AP118" s="308"/>
      <c r="AQ118" s="308"/>
      <c r="AR118" s="308"/>
      <c r="AS118" s="308"/>
      <c r="AU118" s="308"/>
      <c r="AW118" s="269"/>
      <c r="AX118" s="269"/>
      <c r="AY118" s="269"/>
      <c r="AZ118" s="269"/>
      <c r="BA118" s="269"/>
      <c r="BB118" s="269"/>
      <c r="BC118" s="269"/>
      <c r="BD118" s="269"/>
      <c r="BE118" s="269"/>
      <c r="BF118" s="269"/>
      <c r="BG118" s="269"/>
      <c r="BH118" s="269"/>
      <c r="BI118" s="269"/>
      <c r="BJ118" s="269"/>
      <c r="BK118" s="269"/>
      <c r="BL118" s="269"/>
      <c r="BM118" s="269"/>
      <c r="BN118" s="269"/>
      <c r="BO118" s="269"/>
      <c r="BP118" s="269"/>
      <c r="BQ118" s="269"/>
      <c r="BR118" s="269"/>
      <c r="BS118" s="269"/>
      <c r="BT118" s="269"/>
      <c r="BU118" s="269"/>
      <c r="BV118" s="363"/>
      <c r="BW118" s="363"/>
      <c r="BX118" s="363"/>
      <c r="BY118" s="380"/>
      <c r="BZ118" s="380"/>
      <c r="CA118" s="628"/>
      <c r="CB118" s="628"/>
      <c r="CC118" s="628"/>
      <c r="CD118" s="628"/>
    </row>
    <row r="119" spans="1:82" ht="13.5" customHeight="1">
      <c r="A119" s="319" t="s">
        <v>138</v>
      </c>
      <c r="B119" s="269"/>
      <c r="C119" s="269"/>
      <c r="D119" s="269"/>
      <c r="E119" s="269"/>
      <c r="F119" s="269"/>
      <c r="G119" s="269"/>
      <c r="H119" s="269"/>
      <c r="I119" s="269"/>
      <c r="J119" s="269"/>
      <c r="K119" s="269"/>
      <c r="L119" s="269"/>
      <c r="M119" s="269"/>
      <c r="N119" s="269"/>
      <c r="O119" s="269"/>
      <c r="P119" s="269"/>
      <c r="Q119" s="269"/>
      <c r="R119" s="269"/>
      <c r="S119" s="269"/>
      <c r="T119" s="269"/>
      <c r="U119" s="269"/>
      <c r="V119" s="269"/>
      <c r="W119" s="269"/>
      <c r="X119" s="269"/>
      <c r="Y119" s="269"/>
      <c r="Z119" s="269"/>
      <c r="AA119" s="269"/>
      <c r="AB119" s="269"/>
      <c r="AC119" s="269"/>
      <c r="AD119" s="269"/>
      <c r="AE119" s="269"/>
      <c r="AF119" s="269"/>
      <c r="AG119" s="269"/>
      <c r="AH119" s="269"/>
      <c r="AI119" s="363"/>
      <c r="AJ119" s="363"/>
      <c r="AK119" s="363"/>
      <c r="AL119" s="363"/>
      <c r="AM119" s="363"/>
      <c r="AN119" s="363"/>
      <c r="AO119" s="363"/>
      <c r="AP119" s="308"/>
      <c r="AQ119" s="308"/>
      <c r="AR119" s="308"/>
      <c r="AS119" s="308"/>
      <c r="AU119" s="308"/>
      <c r="AW119" s="269"/>
      <c r="AX119" s="269"/>
      <c r="AY119" s="269"/>
      <c r="AZ119" s="269"/>
      <c r="BA119" s="269"/>
      <c r="BB119" s="269"/>
      <c r="BC119" s="269"/>
      <c r="BD119" s="269"/>
      <c r="BE119" s="269"/>
      <c r="BF119" s="269"/>
      <c r="BG119" s="269"/>
      <c r="BH119" s="269"/>
      <c r="BI119" s="269"/>
      <c r="BJ119" s="269"/>
      <c r="BK119" s="269"/>
      <c r="BL119" s="269"/>
      <c r="BM119" s="269"/>
      <c r="BN119" s="269"/>
      <c r="BO119" s="269"/>
      <c r="BP119" s="269"/>
      <c r="BQ119" s="269"/>
      <c r="BR119" s="269"/>
      <c r="BS119" s="269"/>
      <c r="BT119" s="382">
        <f t="shared" ref="BT119:CD119" si="402">+BT113+BT110</f>
        <v>-4936.1044824699629</v>
      </c>
      <c r="BU119" s="382">
        <f t="shared" si="402"/>
        <v>-4936.044528666208</v>
      </c>
      <c r="BV119" s="382">
        <f t="shared" si="402"/>
        <v>-4920.3667904142312</v>
      </c>
      <c r="BW119" s="382">
        <f t="shared" si="402"/>
        <v>-4920.4226458658559</v>
      </c>
      <c r="BX119" s="382">
        <f t="shared" si="402"/>
        <v>-6695.1550000000007</v>
      </c>
      <c r="BY119" s="382">
        <f t="shared" si="402"/>
        <v>-7653.0360000000001</v>
      </c>
      <c r="BZ119" s="382">
        <f t="shared" ref="BZ119" si="403">+BZ113+BZ110</f>
        <v>-8767.6988200000014</v>
      </c>
      <c r="CA119" s="629">
        <f t="shared" si="402"/>
        <v>-6488.016281865539</v>
      </c>
      <c r="CB119" s="629">
        <f t="shared" si="402"/>
        <v>-6498.533621361823</v>
      </c>
      <c r="CC119" s="629">
        <f t="shared" si="402"/>
        <v>-6522.3760016740653</v>
      </c>
      <c r="CD119" s="629">
        <f t="shared" si="402"/>
        <v>-6542.9101656885587</v>
      </c>
    </row>
    <row r="120" spans="1:82" ht="13.5" customHeight="1">
      <c r="A120" s="319" t="s">
        <v>139</v>
      </c>
      <c r="B120" s="269"/>
      <c r="C120" s="269"/>
      <c r="D120" s="269"/>
      <c r="E120" s="269"/>
      <c r="F120" s="269"/>
      <c r="G120" s="269"/>
      <c r="H120" s="269"/>
      <c r="I120" s="269"/>
      <c r="J120" s="269"/>
      <c r="K120" s="269"/>
      <c r="L120" s="269"/>
      <c r="M120" s="269"/>
      <c r="N120" s="269"/>
      <c r="O120" s="269"/>
      <c r="P120" s="269"/>
      <c r="Q120" s="269"/>
      <c r="R120" s="269"/>
      <c r="S120" s="269"/>
      <c r="T120" s="269"/>
      <c r="U120" s="269"/>
      <c r="V120" s="269"/>
      <c r="W120" s="269"/>
      <c r="X120" s="269"/>
      <c r="Y120" s="269"/>
      <c r="Z120" s="269"/>
      <c r="AA120" s="269"/>
      <c r="AB120" s="269"/>
      <c r="AC120" s="269"/>
      <c r="AD120" s="269"/>
      <c r="AE120" s="269"/>
      <c r="AF120" s="269"/>
      <c r="AG120" s="269"/>
      <c r="AH120" s="269"/>
      <c r="AI120" s="363"/>
      <c r="AJ120" s="363"/>
      <c r="AK120" s="363"/>
      <c r="AL120" s="363"/>
      <c r="AM120" s="363"/>
      <c r="AN120" s="363"/>
      <c r="AO120" s="363"/>
      <c r="AP120" s="308"/>
      <c r="AQ120" s="308"/>
      <c r="AR120" s="308"/>
      <c r="AS120" s="308"/>
      <c r="AU120" s="308"/>
      <c r="AW120" s="269"/>
      <c r="AX120" s="269"/>
      <c r="AY120" s="269"/>
      <c r="AZ120" s="269"/>
      <c r="BA120" s="269"/>
      <c r="BB120" s="269"/>
      <c r="BC120" s="269"/>
      <c r="BD120" s="269"/>
      <c r="BE120" s="269"/>
      <c r="BF120" s="269"/>
      <c r="BG120" s="269"/>
      <c r="BH120" s="269"/>
      <c r="BI120" s="269"/>
      <c r="BJ120" s="269"/>
      <c r="BK120" s="269"/>
      <c r="BL120" s="269"/>
      <c r="BM120" s="269"/>
      <c r="BN120" s="269"/>
      <c r="BO120" s="269"/>
      <c r="BP120" s="269"/>
      <c r="BQ120" s="269"/>
      <c r="BR120" s="269"/>
      <c r="BS120" s="269"/>
      <c r="BT120" s="379">
        <f t="shared" ref="BT120:CD120" si="404">-BT119/BT27</f>
        <v>0.7928761652703753</v>
      </c>
      <c r="BU120" s="379">
        <f t="shared" si="404"/>
        <v>1.0983955311251281</v>
      </c>
      <c r="BV120" s="379">
        <f t="shared" si="404"/>
        <v>0.99718635869974659</v>
      </c>
      <c r="BW120" s="379">
        <f t="shared" si="404"/>
        <v>0.70163002973341815</v>
      </c>
      <c r="BX120" s="379">
        <f t="shared" si="404"/>
        <v>0.85498117035362797</v>
      </c>
      <c r="BY120" s="379">
        <f t="shared" si="404"/>
        <v>1.0098133391320692</v>
      </c>
      <c r="BZ120" s="379">
        <f t="shared" ref="BZ120" si="405">-BZ119/BZ27</f>
        <v>1.0810945520597828</v>
      </c>
      <c r="CA120" s="630">
        <f t="shared" si="404"/>
        <v>0.79870526612813564</v>
      </c>
      <c r="CB120" s="630">
        <f t="shared" si="404"/>
        <v>0.7970756202578787</v>
      </c>
      <c r="CC120" s="630">
        <f t="shared" si="404"/>
        <v>0.79748929286883063</v>
      </c>
      <c r="CD120" s="630">
        <f t="shared" si="404"/>
        <v>0.79197422521765548</v>
      </c>
    </row>
    <row r="121" spans="1:82" ht="13.5" customHeight="1">
      <c r="A121" s="319" t="s">
        <v>140</v>
      </c>
      <c r="B121" s="269"/>
      <c r="C121" s="269"/>
      <c r="D121" s="269"/>
      <c r="E121" s="269"/>
      <c r="F121" s="269"/>
      <c r="G121" s="269"/>
      <c r="H121" s="269"/>
      <c r="I121" s="269"/>
      <c r="J121" s="269"/>
      <c r="K121" s="269"/>
      <c r="L121" s="269"/>
      <c r="M121" s="269"/>
      <c r="N121" s="269"/>
      <c r="O121" s="269"/>
      <c r="P121" s="269"/>
      <c r="Q121" s="269"/>
      <c r="R121" s="269"/>
      <c r="S121" s="269"/>
      <c r="T121" s="269"/>
      <c r="U121" s="269"/>
      <c r="V121" s="269"/>
      <c r="W121" s="269"/>
      <c r="X121" s="269"/>
      <c r="Y121" s="269"/>
      <c r="Z121" s="269"/>
      <c r="AA121" s="269"/>
      <c r="AB121" s="269"/>
      <c r="AC121" s="269"/>
      <c r="AD121" s="269"/>
      <c r="AE121" s="269"/>
      <c r="AF121" s="269"/>
      <c r="AG121" s="269"/>
      <c r="AH121" s="269"/>
      <c r="AI121" s="363"/>
      <c r="AJ121" s="363"/>
      <c r="AK121" s="363"/>
      <c r="AL121" s="363"/>
      <c r="AM121" s="363"/>
      <c r="AN121" s="363"/>
      <c r="AO121" s="363"/>
      <c r="AP121" s="308"/>
      <c r="AQ121" s="308"/>
      <c r="AR121" s="308"/>
      <c r="AS121" s="308"/>
      <c r="AU121" s="308"/>
      <c r="AW121" s="269"/>
      <c r="AX121" s="269"/>
      <c r="AY121" s="269"/>
      <c r="AZ121" s="269"/>
      <c r="BA121" s="269"/>
      <c r="BB121" s="269"/>
      <c r="BC121" s="269"/>
      <c r="BD121" s="269"/>
      <c r="BE121" s="269"/>
      <c r="BF121" s="269"/>
      <c r="BG121" s="269"/>
      <c r="BH121" s="269"/>
      <c r="BI121" s="269"/>
      <c r="BJ121" s="269"/>
      <c r="BK121" s="269"/>
      <c r="BL121" s="269"/>
      <c r="BM121" s="269"/>
      <c r="BN121" s="269"/>
      <c r="BO121" s="269"/>
      <c r="BP121" s="269"/>
      <c r="BQ121" s="269"/>
      <c r="BR121" s="269"/>
      <c r="BS121" s="269"/>
      <c r="BT121" s="381">
        <f t="shared" ref="BT121:CD121" si="406">-BT119/BT30</f>
        <v>1.6000691368464404</v>
      </c>
      <c r="BU121" s="381">
        <f t="shared" si="406"/>
        <v>1.600049702446021</v>
      </c>
      <c r="BV121" s="381">
        <f t="shared" si="406"/>
        <v>1.6000502851858589</v>
      </c>
      <c r="BW121" s="381">
        <f t="shared" si="406"/>
        <v>1.6000684487771333</v>
      </c>
      <c r="BX121" s="381">
        <f t="shared" si="406"/>
        <v>2.1997649798563859</v>
      </c>
      <c r="BY121" s="381">
        <f t="shared" si="406"/>
        <v>2.5502905491566459</v>
      </c>
      <c r="BZ121" s="381">
        <f t="shared" ref="BZ121" si="407">-BZ119/BZ30</f>
        <v>2.9859352442745877</v>
      </c>
      <c r="CA121" s="631">
        <f t="shared" si="406"/>
        <v>2.209564548141</v>
      </c>
      <c r="CB121" s="631">
        <f t="shared" si="406"/>
        <v>2.2131463425573772</v>
      </c>
      <c r="CC121" s="631">
        <f t="shared" si="406"/>
        <v>2.2212661246282814</v>
      </c>
      <c r="CD121" s="631">
        <f t="shared" si="406"/>
        <v>2.2282592576385905</v>
      </c>
    </row>
    <row r="122" spans="1:82" ht="13.5" customHeight="1">
      <c r="A122" s="319" t="s">
        <v>141</v>
      </c>
      <c r="B122" s="269"/>
      <c r="C122" s="269"/>
      <c r="D122" s="269"/>
      <c r="E122" s="269"/>
      <c r="F122" s="269"/>
      <c r="G122" s="269"/>
      <c r="H122" s="269"/>
      <c r="I122" s="269"/>
      <c r="J122" s="269"/>
      <c r="K122" s="269"/>
      <c r="L122" s="269"/>
      <c r="M122" s="269"/>
      <c r="N122" s="269"/>
      <c r="O122" s="269"/>
      <c r="P122" s="269"/>
      <c r="Q122" s="269"/>
      <c r="R122" s="269"/>
      <c r="S122" s="269"/>
      <c r="T122" s="269"/>
      <c r="U122" s="269"/>
      <c r="V122" s="269"/>
      <c r="W122" s="269"/>
      <c r="X122" s="269"/>
      <c r="Y122" s="269"/>
      <c r="Z122" s="269"/>
      <c r="AA122" s="269"/>
      <c r="AB122" s="269"/>
      <c r="AC122" s="269"/>
      <c r="AD122" s="269"/>
      <c r="AE122" s="269"/>
      <c r="AF122" s="269"/>
      <c r="AG122" s="269"/>
      <c r="AH122" s="269"/>
      <c r="AI122" s="363"/>
      <c r="AJ122" s="363"/>
      <c r="AK122" s="363"/>
      <c r="AL122" s="363"/>
      <c r="AM122" s="363"/>
      <c r="AN122" s="363"/>
      <c r="AO122" s="363"/>
      <c r="AP122" s="308"/>
      <c r="AQ122" s="308"/>
      <c r="AR122" s="308"/>
      <c r="AS122" s="308"/>
      <c r="AU122" s="308"/>
      <c r="AW122" s="269"/>
      <c r="AX122" s="269"/>
      <c r="AY122" s="269"/>
      <c r="AZ122" s="269"/>
      <c r="BA122" s="269"/>
      <c r="BB122" s="269"/>
      <c r="BC122" s="269"/>
      <c r="BD122" s="269"/>
      <c r="BE122" s="269"/>
      <c r="BF122" s="269"/>
      <c r="BG122" s="269"/>
      <c r="BH122" s="269"/>
      <c r="BI122" s="269"/>
      <c r="BJ122" s="269"/>
      <c r="BK122" s="269"/>
      <c r="BL122" s="269"/>
      <c r="BM122" s="269"/>
      <c r="BN122" s="269"/>
      <c r="BO122" s="269"/>
      <c r="BP122" s="269"/>
      <c r="BQ122" s="269"/>
      <c r="BR122" s="269"/>
      <c r="BS122" s="269"/>
      <c r="BT122" s="380">
        <f ca="1">BT121/Resumo!$M$1</f>
        <v>3.9862210683767822E-2</v>
      </c>
      <c r="BU122" s="380">
        <f ca="1">BU121/Resumo!$M$1</f>
        <v>3.9861726518336346E-2</v>
      </c>
      <c r="BV122" s="380">
        <f ca="1">BV121/Resumo!$M$1</f>
        <v>3.9861741036020401E-2</v>
      </c>
      <c r="BW122" s="380">
        <f ca="1">BW121/Resumo!$M$1</f>
        <v>3.9862193542031223E-2</v>
      </c>
      <c r="BX122" s="380">
        <f ca="1">BX121/Resumo!$M$1</f>
        <v>5.4802316389047978E-2</v>
      </c>
      <c r="BY122" s="380">
        <f ca="1">BY121/Resumo!$M$1</f>
        <v>6.3534891608287139E-2</v>
      </c>
      <c r="BZ122" s="380">
        <f ca="1">BZ121/Resumo!$M$1</f>
        <v>7.4388023026272732E-2</v>
      </c>
      <c r="CA122" s="628">
        <f ca="1">CA121/Resumo!$M$1</f>
        <v>5.504645112458894E-2</v>
      </c>
      <c r="CB122" s="628">
        <f ca="1">CB121/Resumo!$M$1</f>
        <v>5.5135683671085629E-2</v>
      </c>
      <c r="CC122" s="628">
        <f ca="1">CC121/Resumo!$M$1</f>
        <v>5.5337970219937256E-2</v>
      </c>
      <c r="CD122" s="628">
        <f ca="1">CD121/Resumo!$M$1</f>
        <v>5.5512188780233944E-2</v>
      </c>
    </row>
    <row r="123" spans="1:82" ht="13.5" customHeight="1">
      <c r="A123" s="319"/>
      <c r="B123" s="269"/>
      <c r="C123" s="269"/>
      <c r="D123" s="269"/>
      <c r="E123" s="269"/>
      <c r="F123" s="269"/>
      <c r="G123" s="269"/>
      <c r="H123" s="269"/>
      <c r="I123" s="269"/>
      <c r="J123" s="269"/>
      <c r="K123" s="269"/>
      <c r="L123" s="269"/>
      <c r="M123" s="269"/>
      <c r="N123" s="269"/>
      <c r="O123" s="269"/>
      <c r="P123" s="269"/>
      <c r="Q123" s="269"/>
      <c r="R123" s="269"/>
      <c r="S123" s="269"/>
      <c r="T123" s="269"/>
      <c r="U123" s="269"/>
      <c r="V123" s="269"/>
      <c r="W123" s="269"/>
      <c r="X123" s="269"/>
      <c r="Y123" s="269"/>
      <c r="Z123" s="269"/>
      <c r="AA123" s="269"/>
      <c r="AB123" s="269"/>
      <c r="AC123" s="269"/>
      <c r="AD123" s="269"/>
      <c r="AE123" s="269"/>
      <c r="AF123" s="269"/>
      <c r="AG123" s="269"/>
      <c r="AH123" s="269"/>
      <c r="AI123" s="363"/>
      <c r="AJ123" s="363"/>
      <c r="AK123" s="363"/>
      <c r="AL123" s="363"/>
      <c r="AM123" s="363"/>
      <c r="AN123" s="363"/>
      <c r="AO123" s="363"/>
      <c r="AP123" s="308"/>
      <c r="AQ123" s="308"/>
      <c r="AR123" s="308"/>
      <c r="AS123" s="308"/>
      <c r="AU123" s="308"/>
      <c r="AW123" s="269"/>
      <c r="AX123" s="269"/>
      <c r="AY123" s="269"/>
      <c r="AZ123" s="269"/>
      <c r="BA123" s="269"/>
      <c r="BB123" s="269"/>
      <c r="BC123" s="269"/>
      <c r="BD123" s="269"/>
      <c r="BE123" s="269"/>
      <c r="BF123" s="269"/>
      <c r="BG123" s="269"/>
      <c r="BH123" s="269"/>
      <c r="BI123" s="269"/>
      <c r="BJ123" s="269"/>
      <c r="BK123" s="269"/>
      <c r="BL123" s="269"/>
      <c r="BM123" s="269"/>
      <c r="BN123" s="269"/>
      <c r="BO123" s="269"/>
      <c r="BP123" s="269"/>
      <c r="BQ123" s="269"/>
      <c r="BR123" s="269"/>
      <c r="BS123" s="269"/>
      <c r="BT123" s="269"/>
      <c r="BU123" s="269"/>
      <c r="BV123" s="363"/>
      <c r="BW123" s="363"/>
      <c r="BX123" s="363"/>
      <c r="BY123" s="380"/>
      <c r="BZ123" s="380"/>
      <c r="CA123" s="632"/>
      <c r="CB123" s="632"/>
      <c r="CC123" s="632"/>
      <c r="CD123" s="632"/>
    </row>
    <row r="124" spans="1:82" ht="13.5" customHeight="1">
      <c r="A124" s="260" t="s">
        <v>142</v>
      </c>
      <c r="B124" s="258" t="e">
        <f>(B75+B82)-(#REF!+#REF!)</f>
        <v>#REF!</v>
      </c>
      <c r="C124" s="258">
        <f t="shared" ref="C124:AL124" si="408">(C75+C82)-(B82+B75)</f>
        <v>869.89400000000023</v>
      </c>
      <c r="D124" s="258">
        <f t="shared" si="408"/>
        <v>811.04920000000129</v>
      </c>
      <c r="E124" s="258">
        <f t="shared" si="408"/>
        <v>747.04600000000573</v>
      </c>
      <c r="F124" s="258">
        <f t="shared" si="408"/>
        <v>-1339.9440000000031</v>
      </c>
      <c r="G124" s="258">
        <f t="shared" si="408"/>
        <v>132.91179999999804</v>
      </c>
      <c r="H124" s="258">
        <f t="shared" si="408"/>
        <v>121.14500000000044</v>
      </c>
      <c r="I124" s="258">
        <f t="shared" si="408"/>
        <v>1114.893</v>
      </c>
      <c r="J124" s="258">
        <f t="shared" si="408"/>
        <v>-1149.2520000000004</v>
      </c>
      <c r="K124" s="258">
        <f t="shared" si="408"/>
        <v>4043.132999999998</v>
      </c>
      <c r="L124" s="258">
        <f t="shared" si="408"/>
        <v>-2165.007999999998</v>
      </c>
      <c r="M124" s="258">
        <f t="shared" si="408"/>
        <v>606.56199999999808</v>
      </c>
      <c r="N124" s="258">
        <f t="shared" si="408"/>
        <v>-183.5669999999991</v>
      </c>
      <c r="O124" s="258">
        <f t="shared" si="408"/>
        <v>335.24799999999959</v>
      </c>
      <c r="P124" s="258">
        <f t="shared" si="408"/>
        <v>229.75200000000041</v>
      </c>
      <c r="Q124" s="258">
        <f t="shared" si="408"/>
        <v>-846.50500000000102</v>
      </c>
      <c r="R124" s="258">
        <f t="shared" si="408"/>
        <v>3561.3750000000036</v>
      </c>
      <c r="S124" s="258">
        <f t="shared" si="408"/>
        <v>-182.11100000000079</v>
      </c>
      <c r="T124" s="258">
        <f t="shared" si="408"/>
        <v>10257.124</v>
      </c>
      <c r="U124" s="258">
        <f t="shared" si="408"/>
        <v>-3320.2710000000006</v>
      </c>
      <c r="V124" s="258">
        <f t="shared" si="408"/>
        <v>-4590.3130000000019</v>
      </c>
      <c r="W124" s="258">
        <f t="shared" si="408"/>
        <v>-564.43299999999726</v>
      </c>
      <c r="X124" s="258">
        <f t="shared" si="408"/>
        <v>-87.632000000005064</v>
      </c>
      <c r="Y124" s="258">
        <f t="shared" si="408"/>
        <v>111.98800000000483</v>
      </c>
      <c r="Z124" s="258">
        <f t="shared" si="408"/>
        <v>-441.63800000000265</v>
      </c>
      <c r="AA124" s="258">
        <f t="shared" si="408"/>
        <v>-3034.6809999999969</v>
      </c>
      <c r="AB124" s="258">
        <f t="shared" si="408"/>
        <v>8875.8549999999996</v>
      </c>
      <c r="AC124" s="258">
        <f t="shared" si="408"/>
        <v>-243.57400000000052</v>
      </c>
      <c r="AD124" s="258">
        <f t="shared" si="408"/>
        <v>-459.60800000000017</v>
      </c>
      <c r="AE124" s="258">
        <f t="shared" si="408"/>
        <v>-339.77100000000064</v>
      </c>
      <c r="AF124" s="258">
        <f t="shared" si="408"/>
        <v>-2204.0429999999978</v>
      </c>
      <c r="AG124" s="258">
        <f t="shared" si="408"/>
        <v>204.16599999999744</v>
      </c>
      <c r="AH124" s="258">
        <f t="shared" si="408"/>
        <v>-202.23999999999796</v>
      </c>
      <c r="AI124" s="258">
        <f t="shared" si="408"/>
        <v>-4093.8840000000018</v>
      </c>
      <c r="AJ124" s="258">
        <f t="shared" si="408"/>
        <v>484.56899999999951</v>
      </c>
      <c r="AK124" s="258">
        <f t="shared" si="408"/>
        <v>373.07300000000032</v>
      </c>
      <c r="AL124" s="258">
        <f t="shared" si="408"/>
        <v>-5119.6939999999995</v>
      </c>
      <c r="AM124" s="258">
        <f t="shared" ref="AM124" si="409">(AM75+AM82)-(AL82+AL75)</f>
        <v>124.15899999999965</v>
      </c>
      <c r="AN124" s="258">
        <f t="shared" ref="AN124:AO124" si="410">(AN75+AN82)-(AM82+AM75)</f>
        <v>-144.93900000000212</v>
      </c>
      <c r="AO124" s="258">
        <f t="shared" si="410"/>
        <v>44.172999999998865</v>
      </c>
      <c r="AP124" s="258">
        <f t="shared" ref="AP124" si="411">(AP75+AP82)-(AO82+AO75)</f>
        <v>0</v>
      </c>
      <c r="AQ124" s="258">
        <f t="shared" ref="AQ124" si="412">(AQ75+AQ82)-(AP82+AP75)</f>
        <v>0</v>
      </c>
      <c r="AR124" s="258">
        <f t="shared" ref="AR124" si="413">(AR75+AR82)-(AQ82+AQ75)</f>
        <v>0</v>
      </c>
      <c r="AS124" s="258">
        <f t="shared" ref="AS124" si="414">(AS75+AS82)-(AR82+AR75)</f>
        <v>0</v>
      </c>
      <c r="AU124" s="258">
        <v>0</v>
      </c>
      <c r="AW124" s="258" t="e">
        <f>(AW75+AW82)-(A82+A75)</f>
        <v>#VALUE!</v>
      </c>
      <c r="AX124" s="258">
        <f t="shared" ref="AX124:CD124" si="415">(AX75+AX82)-(AW82+AW75)</f>
        <v>558.38899999999967</v>
      </c>
      <c r="AY124" s="258">
        <f t="shared" si="415"/>
        <v>929.10300000000052</v>
      </c>
      <c r="AZ124" s="258">
        <f t="shared" si="415"/>
        <v>405.15799999999945</v>
      </c>
      <c r="BA124" s="258">
        <f t="shared" si="415"/>
        <v>1118.2110000000011</v>
      </c>
      <c r="BB124" s="258">
        <f t="shared" si="415"/>
        <v>86.40099999999893</v>
      </c>
      <c r="BC124" s="258">
        <f t="shared" si="415"/>
        <v>837.13900000000012</v>
      </c>
      <c r="BD124" s="258">
        <f t="shared" si="415"/>
        <v>-139.59699999999975</v>
      </c>
      <c r="BE124" s="258">
        <f t="shared" si="415"/>
        <v>-806.92299999999977</v>
      </c>
      <c r="BF124" s="258">
        <f t="shared" si="415"/>
        <v>-47.205000000000837</v>
      </c>
      <c r="BG124" s="258">
        <f t="shared" si="415"/>
        <v>2422.3150000000005</v>
      </c>
      <c r="BH124" s="258">
        <f t="shared" si="415"/>
        <v>684.66699999999946</v>
      </c>
      <c r="BI124" s="258">
        <f t="shared" si="415"/>
        <v>-786.60800000000017</v>
      </c>
      <c r="BJ124" s="258">
        <f t="shared" si="415"/>
        <v>3922.92</v>
      </c>
      <c r="BK124" s="258">
        <f t="shared" si="415"/>
        <v>-44.753999999998996</v>
      </c>
      <c r="BL124" s="258">
        <f t="shared" si="415"/>
        <v>-1288.4629999999997</v>
      </c>
      <c r="BM124" s="258">
        <f t="shared" si="415"/>
        <v>199.0109999999986</v>
      </c>
      <c r="BN124" s="258">
        <f t="shared" si="415"/>
        <v>2908.9719999999998</v>
      </c>
      <c r="BO124" s="258">
        <f t="shared" si="415"/>
        <v>4151.3830000000016</v>
      </c>
      <c r="BP124" s="258">
        <f t="shared" si="415"/>
        <v>6037.9262000000053</v>
      </c>
      <c r="BQ124" s="258">
        <f t="shared" si="415"/>
        <v>29.005799999995361</v>
      </c>
      <c r="BR124" s="258">
        <f t="shared" si="415"/>
        <v>1335.4349999999977</v>
      </c>
      <c r="BS124" s="258">
        <f t="shared" si="415"/>
        <v>-465.07200000000012</v>
      </c>
      <c r="BT124" s="258">
        <f t="shared" si="415"/>
        <v>10316.117000000002</v>
      </c>
      <c r="BU124" s="258">
        <f t="shared" si="415"/>
        <v>-5130.3899999999994</v>
      </c>
      <c r="BV124" s="258">
        <f t="shared" si="415"/>
        <v>5155.9619999999995</v>
      </c>
      <c r="BW124" s="258">
        <f t="shared" si="415"/>
        <v>-2799.2560000000012</v>
      </c>
      <c r="BX124" s="258">
        <f t="shared" si="415"/>
        <v>-3438.482</v>
      </c>
      <c r="BY124" s="258">
        <f t="shared" si="415"/>
        <v>-5096.3010000000031</v>
      </c>
      <c r="BZ124" s="258">
        <f t="shared" si="415"/>
        <v>0</v>
      </c>
      <c r="CA124" s="307">
        <f t="shared" si="415"/>
        <v>0</v>
      </c>
      <c r="CB124" s="307">
        <f t="shared" si="415"/>
        <v>0</v>
      </c>
      <c r="CC124" s="307">
        <f t="shared" si="415"/>
        <v>0</v>
      </c>
      <c r="CD124" s="307">
        <f t="shared" si="415"/>
        <v>0</v>
      </c>
    </row>
    <row r="125" spans="1:82" s="367" customFormat="1" ht="13.5" customHeight="1">
      <c r="A125" s="365" t="s">
        <v>143</v>
      </c>
      <c r="B125" s="366" t="e">
        <f t="shared" ref="B125:AJ125" si="416">+B124+B113+B110</f>
        <v>#REF!</v>
      </c>
      <c r="C125" s="366">
        <f t="shared" si="416"/>
        <v>-305.55799999999977</v>
      </c>
      <c r="D125" s="366">
        <f t="shared" si="416"/>
        <v>1986.5012000000013</v>
      </c>
      <c r="E125" s="366">
        <f t="shared" si="416"/>
        <v>-5710.4909999999945</v>
      </c>
      <c r="F125" s="366">
        <f t="shared" si="416"/>
        <v>-7797.4810000000034</v>
      </c>
      <c r="G125" s="366">
        <f t="shared" si="416"/>
        <v>132.91179999999804</v>
      </c>
      <c r="H125" s="366">
        <f t="shared" si="416"/>
        <v>121.14500000000044</v>
      </c>
      <c r="I125" s="366">
        <f t="shared" si="416"/>
        <v>1114.893</v>
      </c>
      <c r="J125" s="366">
        <f t="shared" si="416"/>
        <v>-1149.2520000000004</v>
      </c>
      <c r="K125" s="366">
        <f t="shared" si="416"/>
        <v>4043.132999999998</v>
      </c>
      <c r="L125" s="366">
        <f t="shared" si="416"/>
        <v>-2165.007999999998</v>
      </c>
      <c r="M125" s="366">
        <f t="shared" si="416"/>
        <v>606.56199999999808</v>
      </c>
      <c r="N125" s="366">
        <f t="shared" si="416"/>
        <v>-183.5669999999991</v>
      </c>
      <c r="O125" s="366">
        <f t="shared" si="416"/>
        <v>335.24799999999959</v>
      </c>
      <c r="P125" s="366">
        <f t="shared" si="416"/>
        <v>229.75200000000041</v>
      </c>
      <c r="Q125" s="366">
        <f t="shared" si="416"/>
        <v>-846.50500000000102</v>
      </c>
      <c r="R125" s="366">
        <f t="shared" si="416"/>
        <v>3561.3750000000036</v>
      </c>
      <c r="S125" s="366">
        <f t="shared" si="416"/>
        <v>-182.11100000000079</v>
      </c>
      <c r="T125" s="366">
        <f t="shared" si="416"/>
        <v>10257.124</v>
      </c>
      <c r="U125" s="366">
        <f t="shared" si="416"/>
        <v>-3320.2710000000006</v>
      </c>
      <c r="V125" s="366">
        <f t="shared" si="416"/>
        <v>-5916.8337600000013</v>
      </c>
      <c r="W125" s="366">
        <f t="shared" si="416"/>
        <v>-1890.9537599999971</v>
      </c>
      <c r="X125" s="366">
        <f t="shared" si="416"/>
        <v>-1414.1527600000049</v>
      </c>
      <c r="Y125" s="366">
        <f t="shared" si="416"/>
        <v>-1214.5327599999951</v>
      </c>
      <c r="Z125" s="366">
        <f t="shared" si="416"/>
        <v>-1706.4601200000025</v>
      </c>
      <c r="AA125" s="366">
        <f t="shared" si="416"/>
        <v>-4290.3378799999973</v>
      </c>
      <c r="AB125" s="366">
        <f t="shared" si="416"/>
        <v>8875.8549999999996</v>
      </c>
      <c r="AC125" s="366">
        <f t="shared" si="416"/>
        <v>-2766.3120000000004</v>
      </c>
      <c r="AD125" s="366">
        <f t="shared" si="416"/>
        <v>-459.60800000000017</v>
      </c>
      <c r="AE125" s="366">
        <f t="shared" si="416"/>
        <v>-1584.6420000000007</v>
      </c>
      <c r="AF125" s="366">
        <f t="shared" si="416"/>
        <v>-3448.9139999999979</v>
      </c>
      <c r="AG125" s="366">
        <f t="shared" si="416"/>
        <v>-2287.8070000000025</v>
      </c>
      <c r="AH125" s="366">
        <f t="shared" si="416"/>
        <v>-202.23999999999796</v>
      </c>
      <c r="AI125" s="366">
        <f t="shared" si="416"/>
        <v>-5523.1800000000021</v>
      </c>
      <c r="AJ125" s="366">
        <f t="shared" si="416"/>
        <v>-1549.8790000000004</v>
      </c>
      <c r="AK125" s="366">
        <f t="shared" ref="AK125:AL125" si="417">+AK124+AK113+AK110</f>
        <v>-2858.3380000000002</v>
      </c>
      <c r="AL125" s="366">
        <f t="shared" si="417"/>
        <v>-5293.3219999999992</v>
      </c>
      <c r="AM125" s="366">
        <f t="shared" ref="AM125:AN125" si="418">+AM124+AM113+AM110</f>
        <v>-1818.5940000000003</v>
      </c>
      <c r="AN125" s="366">
        <f t="shared" si="418"/>
        <v>-2245.5300000000025</v>
      </c>
      <c r="AO125" s="366">
        <f t="shared" ref="AO125" si="419">+AO124+AO113+AO110</f>
        <v>-3391.891000000001</v>
      </c>
      <c r="AP125" s="366">
        <f t="shared" ref="AP125:AS125" si="420">+AP124+AP113+AP110</f>
        <v>-500</v>
      </c>
      <c r="AQ125" s="366">
        <f t="shared" si="420"/>
        <v>-2191.1589800000002</v>
      </c>
      <c r="AR125" s="366">
        <f t="shared" si="420"/>
        <v>-2191.1589800000002</v>
      </c>
      <c r="AS125" s="366">
        <f t="shared" si="420"/>
        <v>-3885.3808600000007</v>
      </c>
      <c r="AU125" s="366">
        <v>-3618.6578600000007</v>
      </c>
      <c r="AW125" s="366" t="e">
        <f t="shared" ref="AW125:CD125" si="421">+AW124+AW113+AW110</f>
        <v>#VALUE!</v>
      </c>
      <c r="AX125" s="366">
        <f t="shared" si="421"/>
        <v>-2388.2240000000006</v>
      </c>
      <c r="AY125" s="366">
        <f t="shared" si="421"/>
        <v>-1556.9089999999997</v>
      </c>
      <c r="AZ125" s="366">
        <f t="shared" si="421"/>
        <v>-2726.7840000000006</v>
      </c>
      <c r="BA125" s="366">
        <f t="shared" si="421"/>
        <v>-1746.1649999999991</v>
      </c>
      <c r="BB125" s="366">
        <f t="shared" si="421"/>
        <v>-2972.6760000000013</v>
      </c>
      <c r="BC125" s="366">
        <f t="shared" si="421"/>
        <v>-1944.02</v>
      </c>
      <c r="BD125" s="366">
        <f t="shared" si="421"/>
        <v>-3123.6959999999999</v>
      </c>
      <c r="BE125" s="366">
        <f t="shared" si="421"/>
        <v>-3881.0929999999994</v>
      </c>
      <c r="BF125" s="366">
        <f t="shared" si="421"/>
        <v>-6504.7420000000011</v>
      </c>
      <c r="BG125" s="366">
        <f t="shared" si="421"/>
        <v>-1615.2889999999998</v>
      </c>
      <c r="BH125" s="366">
        <f t="shared" si="421"/>
        <v>-2364.0840000000007</v>
      </c>
      <c r="BI125" s="366">
        <f t="shared" si="421"/>
        <v>-3994.2260000000001</v>
      </c>
      <c r="BJ125" s="366">
        <f t="shared" si="421"/>
        <v>467.31800000000021</v>
      </c>
      <c r="BK125" s="366">
        <f t="shared" si="421"/>
        <v>-3651.0289999999991</v>
      </c>
      <c r="BL125" s="366">
        <f t="shared" si="421"/>
        <v>-5072.6980000000003</v>
      </c>
      <c r="BM125" s="366">
        <f t="shared" si="421"/>
        <v>-3947.2470000000012</v>
      </c>
      <c r="BN125" s="366">
        <f t="shared" si="421"/>
        <v>-1468.6280000000006</v>
      </c>
      <c r="BO125" s="366">
        <f t="shared" si="421"/>
        <v>-2721.3359999999984</v>
      </c>
      <c r="BP125" s="366">
        <f t="shared" si="421"/>
        <v>619.27120000000502</v>
      </c>
      <c r="BQ125" s="366">
        <f t="shared" si="421"/>
        <v>-4845.1872000000049</v>
      </c>
      <c r="BR125" s="366">
        <f t="shared" si="421"/>
        <v>-3538.7575600000018</v>
      </c>
      <c r="BS125" s="366">
        <f t="shared" si="421"/>
        <v>-5246.7165999999997</v>
      </c>
      <c r="BT125" s="366">
        <f t="shared" si="421"/>
        <v>5380.0125175300391</v>
      </c>
      <c r="BU125" s="366">
        <f t="shared" si="421"/>
        <v>-10066.434528666208</v>
      </c>
      <c r="BV125" s="366">
        <f t="shared" si="421"/>
        <v>235.59520958576823</v>
      </c>
      <c r="BW125" s="366">
        <f t="shared" si="421"/>
        <v>-7719.6786458658571</v>
      </c>
      <c r="BX125" s="366">
        <f t="shared" si="421"/>
        <v>-10133.636999999999</v>
      </c>
      <c r="BY125" s="366">
        <f t="shared" si="421"/>
        <v>-12749.337000000003</v>
      </c>
      <c r="BZ125" s="366">
        <f t="shared" ref="BZ125" si="422">+BZ124+BZ113+BZ110</f>
        <v>-8767.6988200000014</v>
      </c>
      <c r="CA125" s="366">
        <f t="shared" si="421"/>
        <v>-6488.016281865539</v>
      </c>
      <c r="CB125" s="366">
        <f t="shared" si="421"/>
        <v>-6498.533621361823</v>
      </c>
      <c r="CC125" s="366">
        <f t="shared" si="421"/>
        <v>-6522.3760016740653</v>
      </c>
      <c r="CD125" s="366">
        <f t="shared" si="421"/>
        <v>-6542.9101656885587</v>
      </c>
    </row>
    <row r="126" spans="1:82" ht="13.5" customHeight="1">
      <c r="A126" s="319" t="s">
        <v>144</v>
      </c>
      <c r="B126" s="269" t="e">
        <f t="shared" ref="B126:AJ126" si="423">+B125+B106+B102</f>
        <v>#REF!</v>
      </c>
      <c r="C126" s="269">
        <f t="shared" si="423"/>
        <v>979.0780000000002</v>
      </c>
      <c r="D126" s="269">
        <f t="shared" si="423"/>
        <v>701.86520000000121</v>
      </c>
      <c r="E126" s="269">
        <f t="shared" si="423"/>
        <v>-6075.0899999999956</v>
      </c>
      <c r="F126" s="269">
        <f t="shared" si="423"/>
        <v>-7519.4810000000034</v>
      </c>
      <c r="G126" s="269">
        <f t="shared" si="423"/>
        <v>214.91179999999804</v>
      </c>
      <c r="H126" s="269">
        <f t="shared" si="423"/>
        <v>1358.9540000000006</v>
      </c>
      <c r="I126" s="269">
        <f t="shared" si="423"/>
        <v>2465.4699999999998</v>
      </c>
      <c r="J126" s="269">
        <f t="shared" si="423"/>
        <v>-32.252000000000407</v>
      </c>
      <c r="K126" s="269">
        <f t="shared" si="423"/>
        <v>4626.815999999998</v>
      </c>
      <c r="L126" s="269">
        <f t="shared" si="423"/>
        <v>1175.8910000000028</v>
      </c>
      <c r="M126" s="269">
        <f t="shared" si="423"/>
        <v>726.73099999999727</v>
      </c>
      <c r="N126" s="269">
        <f t="shared" si="423"/>
        <v>1926.4330000000009</v>
      </c>
      <c r="O126" s="269">
        <f t="shared" si="423"/>
        <v>2170.2479999999996</v>
      </c>
      <c r="P126" s="269">
        <f t="shared" si="423"/>
        <v>2347.2300000000005</v>
      </c>
      <c r="Q126" s="269">
        <f t="shared" si="423"/>
        <v>2181.14</v>
      </c>
      <c r="R126" s="269">
        <f t="shared" si="423"/>
        <v>6078.3750000000036</v>
      </c>
      <c r="S126" s="269">
        <f t="shared" si="423"/>
        <v>2253.501999999999</v>
      </c>
      <c r="T126" s="269">
        <f t="shared" si="423"/>
        <v>12443.778999999999</v>
      </c>
      <c r="U126" s="269">
        <f t="shared" si="423"/>
        <v>-921.05900000000065</v>
      </c>
      <c r="V126" s="269">
        <f t="shared" si="423"/>
        <v>-4511.1792600000017</v>
      </c>
      <c r="W126" s="269">
        <f t="shared" si="423"/>
        <v>-1528.6082599999972</v>
      </c>
      <c r="X126" s="269">
        <f t="shared" si="423"/>
        <v>538.19823999999517</v>
      </c>
      <c r="Y126" s="269">
        <f t="shared" si="423"/>
        <v>-287.69675999999527</v>
      </c>
      <c r="Z126" s="269">
        <f t="shared" si="423"/>
        <v>-719.54212000000234</v>
      </c>
      <c r="AA126" s="269">
        <f t="shared" si="423"/>
        <v>-2530.5138799999972</v>
      </c>
      <c r="AB126" s="269">
        <f t="shared" si="423"/>
        <v>10748.299000000001</v>
      </c>
      <c r="AC126" s="269">
        <f t="shared" si="423"/>
        <v>-1207.9940000000006</v>
      </c>
      <c r="AD126" s="269">
        <f t="shared" si="423"/>
        <v>1720.165</v>
      </c>
      <c r="AE126" s="269">
        <f t="shared" si="423"/>
        <v>1098.9889999999996</v>
      </c>
      <c r="AF126" s="269">
        <f t="shared" si="423"/>
        <v>-262.54299999999921</v>
      </c>
      <c r="AG126" s="269">
        <f t="shared" si="423"/>
        <v>281.00699999999824</v>
      </c>
      <c r="AH126" s="269">
        <f t="shared" si="423"/>
        <v>1885.4130000000021</v>
      </c>
      <c r="AI126" s="269">
        <f t="shared" si="423"/>
        <v>-4205.5980000000018</v>
      </c>
      <c r="AJ126" s="269">
        <f t="shared" si="423"/>
        <v>839.32499999999982</v>
      </c>
      <c r="AK126" s="269">
        <f t="shared" ref="AK126:AL126" si="424">+AK125+AK106+AK102</f>
        <v>648.98100000000022</v>
      </c>
      <c r="AL126" s="269">
        <f t="shared" si="424"/>
        <v>-4017.6349999999989</v>
      </c>
      <c r="AM126" s="269">
        <f t="shared" ref="AM126:AN126" si="425">+AM125+AM106+AM102</f>
        <v>-97.572000000000571</v>
      </c>
      <c r="AN126" s="269">
        <f t="shared" si="425"/>
        <v>765.8629999999971</v>
      </c>
      <c r="AO126" s="269">
        <f t="shared" ref="AO126" si="426">+AO125+AO106+AO102</f>
        <v>-794.41200000000163</v>
      </c>
      <c r="AP126" s="308">
        <f t="shared" ref="AP126:AS126" si="427">+AP125+AP106+AP102</f>
        <v>8406.7663207755031</v>
      </c>
      <c r="AQ126" s="308">
        <f t="shared" si="427"/>
        <v>-2187.9127856153818</v>
      </c>
      <c r="AR126" s="308">
        <f t="shared" si="427"/>
        <v>-1430.8766716127452</v>
      </c>
      <c r="AS126" s="308">
        <f t="shared" si="427"/>
        <v>-5434.442434243223</v>
      </c>
      <c r="AU126" s="308">
        <v>-4446.4377004352427</v>
      </c>
      <c r="AW126" s="269" t="e">
        <f t="shared" ref="AW126:CD126" si="428">+AW125+AW106+AW102</f>
        <v>#VALUE!</v>
      </c>
      <c r="AX126" s="269">
        <f t="shared" si="428"/>
        <v>-239.67600000000039</v>
      </c>
      <c r="AY126" s="269">
        <f t="shared" si="428"/>
        <v>847.73800000000028</v>
      </c>
      <c r="AZ126" s="269">
        <f t="shared" si="428"/>
        <v>-459.3070000000007</v>
      </c>
      <c r="BA126" s="269">
        <f t="shared" si="428"/>
        <v>275.48600000000124</v>
      </c>
      <c r="BB126" s="269">
        <f t="shared" si="428"/>
        <v>-339.11100000000124</v>
      </c>
      <c r="BC126" s="269">
        <f t="shared" si="428"/>
        <v>150.44200000000001</v>
      </c>
      <c r="BD126" s="269">
        <f t="shared" si="428"/>
        <v>649.2199999999998</v>
      </c>
      <c r="BE126" s="269">
        <f t="shared" si="428"/>
        <v>-994.628999999999</v>
      </c>
      <c r="BF126" s="269">
        <f t="shared" si="428"/>
        <v>-5382.9750000000004</v>
      </c>
      <c r="BG126" s="269">
        <f t="shared" si="428"/>
        <v>1767.6850000000004</v>
      </c>
      <c r="BH126" s="269">
        <f t="shared" si="428"/>
        <v>2184.0579999999995</v>
      </c>
      <c r="BI126" s="269">
        <f t="shared" si="428"/>
        <v>2019.509</v>
      </c>
      <c r="BJ126" s="269">
        <f t="shared" si="428"/>
        <v>5056.9950000000008</v>
      </c>
      <c r="BK126" s="269">
        <f t="shared" si="428"/>
        <v>-713.86399999999867</v>
      </c>
      <c r="BL126" s="269">
        <f t="shared" si="428"/>
        <v>-711.86599999999999</v>
      </c>
      <c r="BM126" s="269">
        <f t="shared" si="428"/>
        <v>3554.4169999999986</v>
      </c>
      <c r="BN126" s="269">
        <f t="shared" si="428"/>
        <v>2367.7959999999994</v>
      </c>
      <c r="BO126" s="269">
        <f t="shared" si="428"/>
        <v>3263.7860000000014</v>
      </c>
      <c r="BP126" s="269">
        <f t="shared" si="428"/>
        <v>4329.152200000005</v>
      </c>
      <c r="BQ126" s="269">
        <f t="shared" si="428"/>
        <v>-1896.8012000000053</v>
      </c>
      <c r="BR126" s="269">
        <f t="shared" si="428"/>
        <v>1622.9934399999984</v>
      </c>
      <c r="BS126" s="269">
        <f t="shared" si="428"/>
        <v>3843.4064000000008</v>
      </c>
      <c r="BT126" s="269">
        <f t="shared" si="428"/>
        <v>14918.49251753004</v>
      </c>
      <c r="BU126" s="269">
        <f t="shared" si="428"/>
        <v>-5419.2475286662084</v>
      </c>
      <c r="BV126" s="269">
        <f t="shared" si="428"/>
        <v>6413.0992095857691</v>
      </c>
      <c r="BW126" s="269">
        <f t="shared" si="428"/>
        <v>2898.9103541341428</v>
      </c>
      <c r="BX126" s="269">
        <f t="shared" si="428"/>
        <v>-2035.6769999999979</v>
      </c>
      <c r="BY126" s="269">
        <f t="shared" si="428"/>
        <v>-4761.984000000004</v>
      </c>
      <c r="BZ126" s="269">
        <f t="shared" ref="BZ126" si="429">+BZ125+BZ106+BZ102</f>
        <v>-646.46557069584924</v>
      </c>
      <c r="CA126" s="308">
        <f t="shared" si="428"/>
        <v>1685.8023480808934</v>
      </c>
      <c r="CB126" s="308">
        <f t="shared" si="428"/>
        <v>1645.4467539783745</v>
      </c>
      <c r="CC126" s="308">
        <f t="shared" si="428"/>
        <v>1616.9106129961619</v>
      </c>
      <c r="CD126" s="308">
        <f t="shared" si="428"/>
        <v>1651.6199843425584</v>
      </c>
    </row>
    <row r="127" spans="1:82" ht="13.5" customHeight="1">
      <c r="A127" s="319"/>
      <c r="B127" s="269"/>
      <c r="C127" s="269"/>
      <c r="D127" s="269"/>
      <c r="E127" s="269"/>
      <c r="F127" s="269"/>
      <c r="G127" s="269"/>
      <c r="H127" s="269"/>
      <c r="I127" s="269"/>
      <c r="J127" s="269"/>
      <c r="K127" s="269"/>
      <c r="L127" s="269"/>
      <c r="M127" s="269"/>
      <c r="N127" s="269"/>
      <c r="O127" s="269"/>
      <c r="P127" s="269"/>
      <c r="Q127" s="269"/>
      <c r="R127" s="269"/>
      <c r="S127" s="269"/>
      <c r="T127" s="269"/>
      <c r="U127" s="269"/>
      <c r="V127" s="269"/>
      <c r="W127" s="269"/>
      <c r="X127" s="269"/>
      <c r="Y127" s="269"/>
      <c r="Z127" s="269"/>
      <c r="AA127" s="269"/>
      <c r="AB127" s="269"/>
      <c r="AC127" s="269"/>
      <c r="AD127" s="269"/>
      <c r="AE127" s="269"/>
      <c r="AF127" s="269"/>
      <c r="AG127" s="269"/>
      <c r="AH127" s="269"/>
      <c r="AI127" s="269"/>
      <c r="AJ127" s="269"/>
      <c r="AK127" s="269"/>
      <c r="AL127" s="269"/>
      <c r="AM127" s="269"/>
      <c r="AN127" s="269"/>
      <c r="AO127" s="269"/>
      <c r="AP127" s="308"/>
      <c r="AQ127" s="308"/>
      <c r="AR127" s="308"/>
      <c r="AS127" s="308"/>
      <c r="AU127" s="308"/>
      <c r="AW127" s="269"/>
      <c r="AX127" s="269"/>
      <c r="AY127" s="269"/>
      <c r="AZ127" s="269"/>
      <c r="BA127" s="269"/>
      <c r="BB127" s="269"/>
      <c r="BC127" s="269"/>
      <c r="BD127" s="269"/>
      <c r="BE127" s="269"/>
      <c r="BF127" s="269"/>
      <c r="BG127" s="269"/>
      <c r="BH127" s="269"/>
      <c r="BI127" s="269"/>
      <c r="BJ127" s="269"/>
      <c r="BK127" s="269"/>
      <c r="BL127" s="269"/>
      <c r="BM127" s="269"/>
      <c r="BN127" s="269"/>
      <c r="BO127" s="269"/>
      <c r="BP127" s="269"/>
      <c r="BQ127" s="269"/>
      <c r="BR127" s="269"/>
      <c r="BS127" s="269"/>
      <c r="BT127" s="269"/>
      <c r="BU127" s="269"/>
      <c r="BV127" s="269"/>
      <c r="BW127" s="269"/>
      <c r="BX127" s="269"/>
      <c r="BY127" s="269"/>
      <c r="BZ127" s="269"/>
      <c r="CA127" s="308"/>
      <c r="CB127" s="308"/>
      <c r="CC127" s="308"/>
      <c r="CD127" s="308"/>
    </row>
    <row r="128" spans="1:82" ht="13.5" customHeight="1">
      <c r="B128" s="264"/>
      <c r="C128" s="264"/>
      <c r="D128" s="264"/>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c r="AA128" s="264"/>
      <c r="AB128" s="264"/>
      <c r="AC128" s="264"/>
      <c r="AD128" s="264"/>
      <c r="AE128" s="264"/>
      <c r="AF128" s="264"/>
      <c r="AG128" s="264"/>
      <c r="AH128" s="264"/>
      <c r="AI128" s="264"/>
      <c r="AJ128" s="264"/>
      <c r="AK128" s="264"/>
      <c r="AL128" s="264"/>
      <c r="AM128" s="264"/>
      <c r="AN128" s="264"/>
      <c r="AO128" s="264"/>
      <c r="AP128" s="298"/>
      <c r="AQ128" s="298"/>
      <c r="AR128" s="298"/>
      <c r="AS128" s="298"/>
      <c r="AU128" s="298"/>
      <c r="AW128" s="264"/>
      <c r="AX128" s="264"/>
      <c r="AY128" s="264"/>
      <c r="AZ128" s="264"/>
      <c r="BA128" s="264"/>
      <c r="BB128" s="264"/>
      <c r="BC128" s="264"/>
      <c r="BD128" s="264"/>
      <c r="BE128" s="264"/>
      <c r="BF128" s="264"/>
      <c r="BG128" s="264"/>
      <c r="BH128" s="264"/>
      <c r="BI128" s="264"/>
      <c r="BJ128" s="264"/>
      <c r="BK128" s="264"/>
      <c r="BL128" s="264"/>
      <c r="BM128" s="264"/>
      <c r="BN128" s="264"/>
      <c r="BO128" s="264"/>
      <c r="BP128" s="264"/>
      <c r="BQ128" s="264"/>
      <c r="BR128" s="264"/>
      <c r="BS128" s="264"/>
      <c r="BT128" s="264"/>
      <c r="BU128" s="264"/>
      <c r="BV128" s="264"/>
      <c r="BW128" s="264"/>
      <c r="BX128" s="264"/>
      <c r="BY128" s="264"/>
      <c r="BZ128" s="264"/>
      <c r="CA128" s="298"/>
      <c r="CB128" s="298"/>
      <c r="CC128" s="298"/>
      <c r="CD128" s="298"/>
    </row>
    <row r="129" spans="1:82" ht="13.5" customHeight="1">
      <c r="A129" s="260" t="s">
        <v>145</v>
      </c>
      <c r="B129" s="264" t="e">
        <f>+#REF!</f>
        <v>#REF!</v>
      </c>
      <c r="C129" s="264">
        <f>+B130</f>
        <v>11088.367</v>
      </c>
      <c r="D129" s="264">
        <f>+C130</f>
        <v>9588.6299999999992</v>
      </c>
      <c r="E129" s="264">
        <f>+D130</f>
        <v>8938.9220000000005</v>
      </c>
      <c r="F129" s="264">
        <f t="shared" ref="F129:K129" si="430">+E130</f>
        <v>7461.4920000000002</v>
      </c>
      <c r="G129" s="264">
        <f t="shared" si="430"/>
        <v>7275.9260000000004</v>
      </c>
      <c r="H129" s="264">
        <f t="shared" si="430"/>
        <v>6261.1409999999996</v>
      </c>
      <c r="I129" s="264">
        <f t="shared" si="430"/>
        <v>6013.1139999999996</v>
      </c>
      <c r="J129" s="264">
        <f t="shared" si="430"/>
        <v>4674.3389999999999</v>
      </c>
      <c r="K129" s="264">
        <f t="shared" si="430"/>
        <v>5426</v>
      </c>
      <c r="L129" s="264">
        <f>+K130</f>
        <v>7509.7690000000002</v>
      </c>
      <c r="M129" s="264">
        <f>+L130</f>
        <v>5994.8729999999996</v>
      </c>
      <c r="N129" s="264">
        <f t="shared" ref="N129:AL129" si="431">+M130</f>
        <v>4999.5020000000004</v>
      </c>
      <c r="O129" s="264">
        <f t="shared" si="431"/>
        <v>6534</v>
      </c>
      <c r="P129" s="264">
        <f t="shared" si="431"/>
        <v>6703</v>
      </c>
      <c r="Q129" s="264">
        <f t="shared" si="431"/>
        <v>7074.7190000000001</v>
      </c>
      <c r="R129" s="264">
        <f t="shared" si="431"/>
        <v>6838.5559999999996</v>
      </c>
      <c r="S129" s="264">
        <f t="shared" si="431"/>
        <v>9723.223</v>
      </c>
      <c r="T129" s="264">
        <f t="shared" si="431"/>
        <v>10328.019</v>
      </c>
      <c r="U129" s="264">
        <f t="shared" si="431"/>
        <v>22033.999</v>
      </c>
      <c r="V129" s="264">
        <f t="shared" si="431"/>
        <v>18583.898000000001</v>
      </c>
      <c r="W129" s="264">
        <f t="shared" si="431"/>
        <v>15739.026</v>
      </c>
      <c r="X129" s="264">
        <f t="shared" si="431"/>
        <v>14264.677</v>
      </c>
      <c r="Y129" s="264">
        <f t="shared" si="431"/>
        <v>14288.94</v>
      </c>
      <c r="Z129" s="264">
        <f t="shared" si="431"/>
        <v>12274.692999999999</v>
      </c>
      <c r="AA129" s="264">
        <f t="shared" si="431"/>
        <v>12397.933000000001</v>
      </c>
      <c r="AB129" s="264">
        <f t="shared" si="431"/>
        <v>9667.9330000000009</v>
      </c>
      <c r="AC129" s="264">
        <f t="shared" si="431"/>
        <v>18113.649000000001</v>
      </c>
      <c r="AD129" s="264">
        <f t="shared" si="431"/>
        <v>16919.157999999999</v>
      </c>
      <c r="AE129" s="264">
        <f t="shared" si="431"/>
        <v>17919.129000000001</v>
      </c>
      <c r="AF129" s="264">
        <f t="shared" si="431"/>
        <v>19112.823</v>
      </c>
      <c r="AG129" s="264">
        <f t="shared" si="431"/>
        <v>18496.524000000001</v>
      </c>
      <c r="AH129" s="264">
        <f t="shared" si="431"/>
        <v>18972.075000000001</v>
      </c>
      <c r="AI129" s="264">
        <f t="shared" si="431"/>
        <v>20193.011999999999</v>
      </c>
      <c r="AJ129" s="264">
        <f t="shared" si="431"/>
        <v>16874.934000000001</v>
      </c>
      <c r="AK129" s="264">
        <f t="shared" si="431"/>
        <v>16739.429</v>
      </c>
      <c r="AL129" s="264">
        <f t="shared" si="431"/>
        <v>15582.477000000001</v>
      </c>
      <c r="AM129" s="264">
        <f t="shared" ref="AM129" si="432">+AL130</f>
        <v>11782.71</v>
      </c>
      <c r="AN129" s="264">
        <f t="shared" ref="AN129:AO129" si="433">+AM130</f>
        <v>10953.823</v>
      </c>
      <c r="AO129" s="264">
        <f t="shared" si="433"/>
        <v>10749.482</v>
      </c>
      <c r="AP129" s="301">
        <f t="shared" ref="AP129:AS129" si="434">+AO130</f>
        <v>9660.2790000000005</v>
      </c>
      <c r="AQ129" s="301">
        <f t="shared" si="434"/>
        <v>18067.045320775505</v>
      </c>
      <c r="AR129" s="301">
        <f t="shared" si="434"/>
        <v>15879.132535160123</v>
      </c>
      <c r="AS129" s="301">
        <f t="shared" si="434"/>
        <v>14448.255863547378</v>
      </c>
      <c r="AU129" s="301">
        <v>10749.482</v>
      </c>
      <c r="AW129" s="264" t="str">
        <f>+A130</f>
        <v>Cash EOP</v>
      </c>
      <c r="AX129" s="264">
        <f t="shared" ref="AX129:BO129" si="435">+AW130</f>
        <v>2078.058</v>
      </c>
      <c r="AY129" s="264">
        <f t="shared" si="435"/>
        <v>1829.076</v>
      </c>
      <c r="AZ129" s="264">
        <f t="shared" si="435"/>
        <v>2571.183</v>
      </c>
      <c r="BA129" s="264">
        <f t="shared" si="435"/>
        <v>2018.306</v>
      </c>
      <c r="BB129" s="264">
        <f t="shared" si="435"/>
        <v>2205.614</v>
      </c>
      <c r="BC129" s="264">
        <f t="shared" si="435"/>
        <v>1699.29</v>
      </c>
      <c r="BD129" s="264">
        <f t="shared" si="435"/>
        <v>1709.5170000000001</v>
      </c>
      <c r="BE129" s="264">
        <f t="shared" si="435"/>
        <v>2132.7809999999999</v>
      </c>
      <c r="BF129" s="264">
        <f t="shared" si="435"/>
        <v>1803.0609999999999</v>
      </c>
      <c r="BG129" s="264">
        <f t="shared" si="435"/>
        <v>1776.69</v>
      </c>
      <c r="BH129" s="264">
        <f t="shared" si="435"/>
        <v>2914.9679999999998</v>
      </c>
      <c r="BI129" s="264">
        <f t="shared" si="435"/>
        <v>3017.607</v>
      </c>
      <c r="BJ129" s="264">
        <f t="shared" si="435"/>
        <v>6460.4949999999999</v>
      </c>
      <c r="BK129" s="264">
        <f t="shared" si="435"/>
        <v>6306.9719999999998</v>
      </c>
      <c r="BL129" s="264">
        <f t="shared" si="435"/>
        <v>4027.5639999999999</v>
      </c>
      <c r="BM129" s="264">
        <f t="shared" si="435"/>
        <v>3464.93</v>
      </c>
      <c r="BN129" s="264">
        <f t="shared" si="435"/>
        <v>5390.25</v>
      </c>
      <c r="BO129" s="264">
        <f t="shared" si="435"/>
        <v>5049.5469999999996</v>
      </c>
      <c r="BP129" s="264">
        <f t="shared" ref="BP129:BZ129" si="436">+BO130</f>
        <v>7933.6989999999996</v>
      </c>
      <c r="BQ129" s="264">
        <f t="shared" si="436"/>
        <v>7461.4920000000002</v>
      </c>
      <c r="BR129" s="264">
        <f t="shared" si="436"/>
        <v>4674.3389999999999</v>
      </c>
      <c r="BS129" s="264">
        <f t="shared" si="436"/>
        <v>4999.5020000000004</v>
      </c>
      <c r="BT129" s="264">
        <f t="shared" si="436"/>
        <v>6838.5559999999996</v>
      </c>
      <c r="BU129" s="264">
        <f t="shared" si="436"/>
        <v>18583.898000000001</v>
      </c>
      <c r="BV129" s="264">
        <f t="shared" si="436"/>
        <v>12274.692999999999</v>
      </c>
      <c r="BW129" s="264">
        <f t="shared" si="436"/>
        <v>16919.157999999999</v>
      </c>
      <c r="BX129" s="264">
        <f t="shared" si="436"/>
        <v>18972.075000000001</v>
      </c>
      <c r="BY129" s="264">
        <f t="shared" si="436"/>
        <v>15582.477000000001</v>
      </c>
      <c r="BZ129" s="264">
        <f t="shared" si="436"/>
        <v>9660.2790000000005</v>
      </c>
      <c r="CA129" s="301">
        <f>+BZ130</f>
        <v>9013.8134293041549</v>
      </c>
      <c r="CB129" s="301">
        <f>+CA130</f>
        <v>10699.615777385048</v>
      </c>
      <c r="CC129" s="301">
        <f>+CB130</f>
        <v>12345.062531363423</v>
      </c>
      <c r="CD129" s="301">
        <f>+CC130</f>
        <v>13961.973144359585</v>
      </c>
    </row>
    <row r="130" spans="1:82" ht="13.5" customHeight="1">
      <c r="A130" s="260" t="s">
        <v>146</v>
      </c>
      <c r="B130" s="270">
        <f t="shared" ref="B130:AJ130" si="437">B56</f>
        <v>11088.367</v>
      </c>
      <c r="C130" s="270">
        <f t="shared" si="437"/>
        <v>9588.6299999999992</v>
      </c>
      <c r="D130" s="270">
        <f t="shared" si="437"/>
        <v>8938.9220000000005</v>
      </c>
      <c r="E130" s="270">
        <f t="shared" si="437"/>
        <v>7461.4920000000002</v>
      </c>
      <c r="F130" s="270">
        <f t="shared" si="437"/>
        <v>7275.9260000000004</v>
      </c>
      <c r="G130" s="270">
        <f t="shared" si="437"/>
        <v>6261.1409999999996</v>
      </c>
      <c r="H130" s="270">
        <f t="shared" si="437"/>
        <v>6013.1139999999996</v>
      </c>
      <c r="I130" s="270">
        <f t="shared" si="437"/>
        <v>4674.3389999999999</v>
      </c>
      <c r="J130" s="270">
        <f t="shared" si="437"/>
        <v>5426</v>
      </c>
      <c r="K130" s="270">
        <f t="shared" si="437"/>
        <v>7509.7690000000002</v>
      </c>
      <c r="L130" s="270">
        <f t="shared" si="437"/>
        <v>5994.8729999999996</v>
      </c>
      <c r="M130" s="270">
        <f t="shared" si="437"/>
        <v>4999.5020000000004</v>
      </c>
      <c r="N130" s="270">
        <f t="shared" si="437"/>
        <v>6534</v>
      </c>
      <c r="O130" s="270">
        <f t="shared" si="437"/>
        <v>6703</v>
      </c>
      <c r="P130" s="270">
        <f t="shared" si="437"/>
        <v>7074.7190000000001</v>
      </c>
      <c r="Q130" s="270">
        <f t="shared" si="437"/>
        <v>6838.5559999999996</v>
      </c>
      <c r="R130" s="270">
        <f t="shared" si="437"/>
        <v>9723.223</v>
      </c>
      <c r="S130" s="270">
        <f t="shared" si="437"/>
        <v>10328.019</v>
      </c>
      <c r="T130" s="270">
        <f t="shared" si="437"/>
        <v>22033.999</v>
      </c>
      <c r="U130" s="270">
        <f t="shared" si="437"/>
        <v>18583.898000000001</v>
      </c>
      <c r="V130" s="270">
        <f t="shared" si="437"/>
        <v>15739.026</v>
      </c>
      <c r="W130" s="270">
        <f t="shared" si="437"/>
        <v>14264.677</v>
      </c>
      <c r="X130" s="270">
        <f t="shared" si="437"/>
        <v>14288.94</v>
      </c>
      <c r="Y130" s="270">
        <f t="shared" si="437"/>
        <v>12274.692999999999</v>
      </c>
      <c r="Z130" s="270">
        <f t="shared" si="437"/>
        <v>12397.933000000001</v>
      </c>
      <c r="AA130" s="270">
        <f t="shared" si="437"/>
        <v>9667.9330000000009</v>
      </c>
      <c r="AB130" s="270">
        <f t="shared" si="437"/>
        <v>18113.649000000001</v>
      </c>
      <c r="AC130" s="270">
        <f t="shared" si="437"/>
        <v>16919.157999999999</v>
      </c>
      <c r="AD130" s="270">
        <f t="shared" si="437"/>
        <v>17919.129000000001</v>
      </c>
      <c r="AE130" s="270">
        <f t="shared" si="437"/>
        <v>19112.823</v>
      </c>
      <c r="AF130" s="270">
        <f t="shared" si="437"/>
        <v>18496.524000000001</v>
      </c>
      <c r="AG130" s="270">
        <f t="shared" si="437"/>
        <v>18972.075000000001</v>
      </c>
      <c r="AH130" s="270">
        <f t="shared" si="437"/>
        <v>20193.011999999999</v>
      </c>
      <c r="AI130" s="270">
        <f t="shared" si="437"/>
        <v>16874.934000000001</v>
      </c>
      <c r="AJ130" s="270">
        <f t="shared" si="437"/>
        <v>16739.429</v>
      </c>
      <c r="AK130" s="270">
        <f t="shared" ref="AK130:AL130" si="438">AK56</f>
        <v>15582.477000000001</v>
      </c>
      <c r="AL130" s="270">
        <f t="shared" si="438"/>
        <v>11782.71</v>
      </c>
      <c r="AM130" s="270">
        <f t="shared" ref="AM130:AN130" si="439">AM56</f>
        <v>10953.823</v>
      </c>
      <c r="AN130" s="270">
        <f t="shared" si="439"/>
        <v>10749.482</v>
      </c>
      <c r="AO130" s="270">
        <f t="shared" ref="AO130" si="440">AO56</f>
        <v>9660.2790000000005</v>
      </c>
      <c r="AP130" s="301">
        <f t="shared" ref="AP130:AS130" si="441">+AP129+AP126</f>
        <v>18067.045320775505</v>
      </c>
      <c r="AQ130" s="301">
        <f t="shared" si="441"/>
        <v>15879.132535160123</v>
      </c>
      <c r="AR130" s="301">
        <f t="shared" si="441"/>
        <v>14448.255863547378</v>
      </c>
      <c r="AS130" s="301">
        <f t="shared" si="441"/>
        <v>9013.8134293041549</v>
      </c>
      <c r="AU130" s="301">
        <v>6303.0442995647572</v>
      </c>
      <c r="AW130" s="270">
        <f t="shared" ref="AW130:BY130" si="442">AW56</f>
        <v>2078.058</v>
      </c>
      <c r="AX130" s="270">
        <f t="shared" si="442"/>
        <v>1829.076</v>
      </c>
      <c r="AY130" s="270">
        <f t="shared" si="442"/>
        <v>2571.183</v>
      </c>
      <c r="AZ130" s="270">
        <f t="shared" si="442"/>
        <v>2018.306</v>
      </c>
      <c r="BA130" s="270">
        <f t="shared" si="442"/>
        <v>2205.614</v>
      </c>
      <c r="BB130" s="270">
        <f t="shared" si="442"/>
        <v>1699.29</v>
      </c>
      <c r="BC130" s="270">
        <f t="shared" si="442"/>
        <v>1709.5170000000001</v>
      </c>
      <c r="BD130" s="270">
        <f t="shared" si="442"/>
        <v>2132.7809999999999</v>
      </c>
      <c r="BE130" s="270">
        <f t="shared" si="442"/>
        <v>1803.0609999999999</v>
      </c>
      <c r="BF130" s="270">
        <f t="shared" si="442"/>
        <v>1776.69</v>
      </c>
      <c r="BG130" s="270">
        <f t="shared" si="442"/>
        <v>2914.9679999999998</v>
      </c>
      <c r="BH130" s="270">
        <f t="shared" si="442"/>
        <v>3017.607</v>
      </c>
      <c r="BI130" s="270">
        <f t="shared" si="442"/>
        <v>6460.4949999999999</v>
      </c>
      <c r="BJ130" s="270">
        <f t="shared" si="442"/>
        <v>6306.9719999999998</v>
      </c>
      <c r="BK130" s="270">
        <f t="shared" si="442"/>
        <v>4027.5639999999999</v>
      </c>
      <c r="BL130" s="270">
        <f t="shared" si="442"/>
        <v>3464.93</v>
      </c>
      <c r="BM130" s="270">
        <f t="shared" si="442"/>
        <v>5390.25</v>
      </c>
      <c r="BN130" s="270">
        <f t="shared" si="442"/>
        <v>5049.5469999999996</v>
      </c>
      <c r="BO130" s="270">
        <f t="shared" si="442"/>
        <v>7933.6989999999996</v>
      </c>
      <c r="BP130" s="270">
        <f t="shared" si="442"/>
        <v>7461.4920000000002</v>
      </c>
      <c r="BQ130" s="270">
        <f t="shared" si="442"/>
        <v>4674.3389999999999</v>
      </c>
      <c r="BR130" s="270">
        <f t="shared" si="442"/>
        <v>4999.5020000000004</v>
      </c>
      <c r="BS130" s="270">
        <f t="shared" si="442"/>
        <v>6838.5559999999996</v>
      </c>
      <c r="BT130" s="270">
        <f t="shared" si="442"/>
        <v>18583.898000000001</v>
      </c>
      <c r="BU130" s="270">
        <f t="shared" si="442"/>
        <v>12274.692999999999</v>
      </c>
      <c r="BV130" s="270">
        <f t="shared" si="442"/>
        <v>16919.157999999999</v>
      </c>
      <c r="BW130" s="270">
        <f t="shared" si="442"/>
        <v>18972.075000000001</v>
      </c>
      <c r="BX130" s="270">
        <f t="shared" si="442"/>
        <v>15582.477000000001</v>
      </c>
      <c r="BY130" s="270">
        <f t="shared" si="442"/>
        <v>9660.2790000000005</v>
      </c>
      <c r="BZ130" s="270">
        <f t="shared" ref="BZ130" si="443">BZ56</f>
        <v>9013.8134293041549</v>
      </c>
      <c r="CA130" s="301">
        <f>+CA129+CA126</f>
        <v>10699.615777385048</v>
      </c>
      <c r="CB130" s="301">
        <f>+CB129+CB126</f>
        <v>12345.062531363423</v>
      </c>
      <c r="CC130" s="301">
        <f>+CC129+CC126</f>
        <v>13961.973144359585</v>
      </c>
      <c r="CD130" s="301">
        <f>+CD129+CD126</f>
        <v>15613.593128702143</v>
      </c>
    </row>
    <row r="131" spans="1:82" ht="13.5" customHeight="1">
      <c r="A131" s="260" t="s">
        <v>147</v>
      </c>
      <c r="B131" s="246">
        <f t="shared" ref="B131:AJ131" si="444">+B130/B73</f>
        <v>0.29172472641977737</v>
      </c>
      <c r="C131" s="246">
        <f t="shared" si="444"/>
        <v>0.26804641303914833</v>
      </c>
      <c r="D131" s="246">
        <f t="shared" si="444"/>
        <v>0.22392346477187605</v>
      </c>
      <c r="E131" s="246">
        <f t="shared" si="444"/>
        <v>0.18333522967088448</v>
      </c>
      <c r="F131" s="246">
        <f t="shared" si="444"/>
        <v>0.18164527117339643</v>
      </c>
      <c r="G131" s="246">
        <f t="shared" si="444"/>
        <v>0.1587657165264314</v>
      </c>
      <c r="H131" s="246">
        <f t="shared" si="444"/>
        <v>0.15567957675427205</v>
      </c>
      <c r="I131" s="246">
        <f t="shared" si="444"/>
        <v>0.11881802181578593</v>
      </c>
      <c r="J131" s="246">
        <f t="shared" si="444"/>
        <v>0.13565678283914195</v>
      </c>
      <c r="K131" s="246">
        <f t="shared" si="444"/>
        <v>0.17217867450394914</v>
      </c>
      <c r="L131" s="246">
        <f t="shared" si="444"/>
        <v>0.14755931597879227</v>
      </c>
      <c r="M131" s="246">
        <f t="shared" si="444"/>
        <v>0.12133177802858208</v>
      </c>
      <c r="N131" s="246">
        <f t="shared" si="444"/>
        <v>0.14943042172860124</v>
      </c>
      <c r="O131" s="246">
        <f t="shared" si="444"/>
        <v>0.15648044272269526</v>
      </c>
      <c r="P131" s="246">
        <f t="shared" si="444"/>
        <v>0.16549857848034408</v>
      </c>
      <c r="Q131" s="246">
        <f t="shared" si="444"/>
        <v>0.16406404311093201</v>
      </c>
      <c r="R131" s="246">
        <f t="shared" si="444"/>
        <v>0.19853117253827399</v>
      </c>
      <c r="S131" s="246">
        <f t="shared" si="444"/>
        <v>0.21265827523213693</v>
      </c>
      <c r="T131" s="246">
        <f t="shared" si="444"/>
        <v>0.37456146184304107</v>
      </c>
      <c r="U131" s="246">
        <f t="shared" si="444"/>
        <v>0.34855711398677314</v>
      </c>
      <c r="V131" s="246">
        <f t="shared" si="444"/>
        <v>0.30701014840567903</v>
      </c>
      <c r="W131" s="246">
        <f t="shared" si="444"/>
        <v>0.28570957886035325</v>
      </c>
      <c r="X131" s="246">
        <f t="shared" si="444"/>
        <v>0.28302597053962397</v>
      </c>
      <c r="Y131" s="246">
        <f t="shared" si="444"/>
        <v>0.25161310531481645</v>
      </c>
      <c r="Z131" s="246">
        <f t="shared" si="444"/>
        <v>0.25057488734124117</v>
      </c>
      <c r="AA131" s="246">
        <f t="shared" si="444"/>
        <v>0.20534613052717168</v>
      </c>
      <c r="AB131" s="246">
        <f t="shared" si="444"/>
        <v>0.32953408500725118</v>
      </c>
      <c r="AC131" s="246">
        <f t="shared" si="444"/>
        <v>0.31600601561954272</v>
      </c>
      <c r="AD131" s="246">
        <f t="shared" si="444"/>
        <v>0.32547086225781391</v>
      </c>
      <c r="AE131" s="246">
        <f t="shared" si="444"/>
        <v>0.34380634641201363</v>
      </c>
      <c r="AF131" s="246">
        <f t="shared" si="444"/>
        <v>0.34304809254825175</v>
      </c>
      <c r="AG131" s="246">
        <f t="shared" si="444"/>
        <v>0.35186301195476383</v>
      </c>
      <c r="AH131" s="246">
        <f t="shared" si="444"/>
        <v>0.35779658458530017</v>
      </c>
      <c r="AI131" s="246">
        <f t="shared" si="444"/>
        <v>0.31904483935155092</v>
      </c>
      <c r="AJ131" s="246">
        <f t="shared" si="444"/>
        <v>0.3160655162345396</v>
      </c>
      <c r="AK131" s="246">
        <f t="shared" ref="AK131:AL131" si="445">+AK130/AK73</f>
        <v>0.29903362820181151</v>
      </c>
      <c r="AL131" s="246">
        <f t="shared" si="445"/>
        <v>0.24486086062055415</v>
      </c>
      <c r="AM131" s="246">
        <f t="shared" ref="AM131:AN131" si="446">+AM130/AM73</f>
        <v>0.22926537552774637</v>
      </c>
      <c r="AN131" s="246">
        <f t="shared" si="446"/>
        <v>0.23050012725292301</v>
      </c>
      <c r="AO131" s="246">
        <f t="shared" ref="AO131" si="447">+AO130/AO73</f>
        <v>0.2116942996447583</v>
      </c>
      <c r="AP131" s="290">
        <f t="shared" ref="AP131:AS131" si="448">+AP130/AP73</f>
        <v>0.33382946274859304</v>
      </c>
      <c r="AQ131" s="290">
        <f t="shared" si="448"/>
        <v>0.30456453196857391</v>
      </c>
      <c r="AR131" s="290">
        <f t="shared" si="448"/>
        <v>0.28850923620939223</v>
      </c>
      <c r="AS131" s="290">
        <f t="shared" si="448"/>
        <v>0.19955895983630872</v>
      </c>
      <c r="AU131" s="290">
        <v>0.1477640458831731</v>
      </c>
      <c r="AW131" s="246">
        <f t="shared" ref="AW131:CD131" si="449">+AW130/AW73</f>
        <v>0.13691825121399548</v>
      </c>
      <c r="AX131" s="246">
        <f t="shared" si="449"/>
        <v>0.10380969731848387</v>
      </c>
      <c r="AY131" s="246">
        <f t="shared" si="449"/>
        <v>0.12974350711754717</v>
      </c>
      <c r="AZ131" s="246">
        <f t="shared" si="449"/>
        <v>9.7164380817575433E-2</v>
      </c>
      <c r="BA131" s="246">
        <f t="shared" si="449"/>
        <v>9.9974548715639364E-2</v>
      </c>
      <c r="BB131" s="246">
        <f t="shared" si="449"/>
        <v>7.4289785817872711E-2</v>
      </c>
      <c r="BC131" s="246">
        <f t="shared" si="449"/>
        <v>7.0293735251877487E-2</v>
      </c>
      <c r="BD131" s="246">
        <f t="shared" si="449"/>
        <v>8.4308211715902054E-2</v>
      </c>
      <c r="BE131" s="246">
        <f t="shared" si="449"/>
        <v>7.219727970013716E-2</v>
      </c>
      <c r="BF131" s="246">
        <f t="shared" si="449"/>
        <v>7.9188490572050588E-2</v>
      </c>
      <c r="BG131" s="246">
        <f t="shared" si="449"/>
        <v>0.12450736826890399</v>
      </c>
      <c r="BH131" s="246">
        <f t="shared" si="449"/>
        <v>0.12444270306442333</v>
      </c>
      <c r="BI131" s="246">
        <f t="shared" si="449"/>
        <v>0.23779332190589628</v>
      </c>
      <c r="BJ131" s="246">
        <f t="shared" si="449"/>
        <v>0.23410139370936658</v>
      </c>
      <c r="BK131" s="246">
        <f t="shared" si="449"/>
        <v>0.14435089293272843</v>
      </c>
      <c r="BL131" s="246">
        <f t="shared" si="449"/>
        <v>0.12358674454203693</v>
      </c>
      <c r="BM131" s="246">
        <f t="shared" si="449"/>
        <v>0.18247391260324744</v>
      </c>
      <c r="BN131" s="246">
        <f t="shared" si="449"/>
        <v>0.16869811900424836</v>
      </c>
      <c r="BO131" s="246">
        <f t="shared" si="449"/>
        <v>0.23302177115072212</v>
      </c>
      <c r="BP131" s="246">
        <f t="shared" si="449"/>
        <v>0.18333522967088448</v>
      </c>
      <c r="BQ131" s="246" t="e">
        <f t="shared" si="449"/>
        <v>#REF!</v>
      </c>
      <c r="BR131" s="246" t="e">
        <f t="shared" si="449"/>
        <v>#REF!</v>
      </c>
      <c r="BS131" s="246" t="e">
        <f t="shared" si="449"/>
        <v>#REF!</v>
      </c>
      <c r="BT131" s="246">
        <f t="shared" si="449"/>
        <v>0.34855711398677314</v>
      </c>
      <c r="BU131" s="246">
        <f t="shared" si="449"/>
        <v>0.25161310531481645</v>
      </c>
      <c r="BV131" s="246">
        <f t="shared" si="449"/>
        <v>0.31600601561954272</v>
      </c>
      <c r="BW131" s="246">
        <f t="shared" si="449"/>
        <v>0.35186301195476383</v>
      </c>
      <c r="BX131" s="246">
        <f t="shared" si="449"/>
        <v>0.29903362820181151</v>
      </c>
      <c r="BY131" s="246">
        <f t="shared" si="449"/>
        <v>0.2116942996447583</v>
      </c>
      <c r="BZ131" s="246">
        <f t="shared" ref="BZ131" si="450">+BZ130/BZ73</f>
        <v>0.19955895983630872</v>
      </c>
      <c r="CA131" s="290">
        <f t="shared" si="449"/>
        <v>0.22693212477499278</v>
      </c>
      <c r="CB131" s="290">
        <f t="shared" si="449"/>
        <v>0.25126461184760085</v>
      </c>
      <c r="CC131" s="290">
        <f t="shared" si="449"/>
        <v>0.2730909819639451</v>
      </c>
      <c r="CD131" s="290">
        <f t="shared" si="449"/>
        <v>0.29353527744824059</v>
      </c>
    </row>
    <row r="132" spans="1:82" ht="13.5" customHeight="1">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c r="AA132" s="271"/>
      <c r="AB132" s="271"/>
      <c r="AC132" s="271"/>
      <c r="AD132" s="271"/>
      <c r="AE132" s="271"/>
      <c r="AF132" s="271"/>
      <c r="AG132" s="271"/>
      <c r="AH132" s="271"/>
      <c r="AI132" s="271"/>
      <c r="AJ132" s="271"/>
      <c r="AK132" s="271"/>
      <c r="AL132" s="271"/>
      <c r="AM132" s="271"/>
      <c r="AN132" s="271"/>
      <c r="AO132" s="271"/>
      <c r="AP132" s="311"/>
      <c r="AQ132" s="311"/>
      <c r="AR132" s="311"/>
      <c r="AS132" s="311"/>
      <c r="AU132" s="311"/>
      <c r="AW132" s="271"/>
      <c r="AX132" s="271"/>
      <c r="AY132" s="271"/>
      <c r="AZ132" s="271"/>
      <c r="BA132" s="271"/>
      <c r="BB132" s="271"/>
      <c r="BC132" s="271"/>
      <c r="BD132" s="271"/>
      <c r="BE132" s="271"/>
      <c r="BF132" s="271"/>
      <c r="BG132" s="271"/>
      <c r="BH132" s="271"/>
      <c r="BI132" s="271"/>
      <c r="BJ132" s="271"/>
      <c r="BK132" s="271"/>
      <c r="BL132" s="271"/>
      <c r="BM132" s="271"/>
      <c r="BN132" s="271"/>
      <c r="BO132" s="271"/>
      <c r="BP132" s="271"/>
      <c r="BQ132" s="271"/>
      <c r="BR132" s="271"/>
      <c r="BS132" s="271"/>
      <c r="BT132" s="271"/>
      <c r="BU132" s="271"/>
      <c r="BV132" s="271"/>
      <c r="BW132" s="271"/>
      <c r="BX132" s="271"/>
      <c r="BY132" s="271"/>
      <c r="BZ132" s="271"/>
      <c r="CA132" s="311"/>
      <c r="CB132" s="311"/>
      <c r="CC132" s="311"/>
      <c r="CD132" s="311"/>
    </row>
    <row r="133" spans="1:82" s="370" customFormat="1" ht="13.5" customHeight="1">
      <c r="A133" s="370" t="s">
        <v>28</v>
      </c>
      <c r="B133" s="371">
        <f t="shared" ref="B133:AJ133" si="451">+B105</f>
        <v>184.01900000000001</v>
      </c>
      <c r="C133" s="371">
        <f t="shared" si="451"/>
        <v>274.28300000000002</v>
      </c>
      <c r="D133" s="371">
        <f t="shared" si="451"/>
        <v>-274.28300000000002</v>
      </c>
      <c r="E133" s="371">
        <f t="shared" si="451"/>
        <v>-3133.5219999999999</v>
      </c>
      <c r="F133" s="371">
        <f t="shared" si="451"/>
        <v>-676</v>
      </c>
      <c r="G133" s="371">
        <f t="shared" si="451"/>
        <v>-784</v>
      </c>
      <c r="H133" s="371">
        <f t="shared" si="451"/>
        <v>-492.904</v>
      </c>
      <c r="I133" s="371">
        <f t="shared" si="451"/>
        <v>-624.80699999999979</v>
      </c>
      <c r="J133" s="371">
        <f t="shared" si="451"/>
        <v>-492</v>
      </c>
      <c r="K133" s="371">
        <f t="shared" si="451"/>
        <v>-610.89499999999998</v>
      </c>
      <c r="L133" s="371">
        <f t="shared" si="451"/>
        <v>-375.38200000000006</v>
      </c>
      <c r="M133" s="371">
        <f t="shared" si="451"/>
        <v>-313.76599999999985</v>
      </c>
      <c r="N133" s="371">
        <f t="shared" si="451"/>
        <v>-167</v>
      </c>
      <c r="O133" s="371">
        <f t="shared" si="451"/>
        <v>-257</v>
      </c>
      <c r="P133" s="371">
        <f t="shared" si="451"/>
        <v>-159.52200000000005</v>
      </c>
      <c r="Q133" s="371">
        <f t="shared" si="451"/>
        <v>-188.46600000000001</v>
      </c>
      <c r="R133" s="371">
        <f t="shared" si="451"/>
        <v>-150</v>
      </c>
      <c r="S133" s="371">
        <f t="shared" si="451"/>
        <v>-216.74299999999999</v>
      </c>
      <c r="T133" s="371">
        <f t="shared" si="451"/>
        <v>-88.262999999999977</v>
      </c>
      <c r="U133" s="371">
        <f t="shared" si="451"/>
        <v>-340.27500000000003</v>
      </c>
      <c r="V133" s="371">
        <f t="shared" si="451"/>
        <v>-457.55549999999999</v>
      </c>
      <c r="W133" s="371">
        <f t="shared" si="451"/>
        <v>-355.44450000000001</v>
      </c>
      <c r="X133" s="371">
        <f t="shared" si="451"/>
        <v>-709.95800000000008</v>
      </c>
      <c r="Y133" s="371">
        <f t="shared" si="451"/>
        <v>-627.51600000000008</v>
      </c>
      <c r="Z133" s="371">
        <f t="shared" si="451"/>
        <v>-564.30999999999995</v>
      </c>
      <c r="AA133" s="371">
        <f t="shared" si="451"/>
        <v>-611.50400000000013</v>
      </c>
      <c r="AB133" s="371">
        <f t="shared" si="451"/>
        <v>-468.36299999999983</v>
      </c>
      <c r="AC133" s="371">
        <f t="shared" si="451"/>
        <v>-497.25900000000024</v>
      </c>
      <c r="AD133" s="371">
        <f t="shared" si="451"/>
        <v>-350.29199999999997</v>
      </c>
      <c r="AE133" s="371">
        <f t="shared" si="451"/>
        <v>-471.41699999999997</v>
      </c>
      <c r="AF133" s="371">
        <f t="shared" si="451"/>
        <v>-421.98600000000005</v>
      </c>
      <c r="AG133" s="371">
        <f t="shared" si="451"/>
        <v>-897.74100000000021</v>
      </c>
      <c r="AH133" s="371">
        <f t="shared" si="451"/>
        <v>-591.61500000000001</v>
      </c>
      <c r="AI133" s="371">
        <f t="shared" si="451"/>
        <v>-694.71</v>
      </c>
      <c r="AJ133" s="371">
        <f t="shared" si="451"/>
        <v>-741.74499999999989</v>
      </c>
      <c r="AK133" s="371">
        <f t="shared" ref="AK133:AL133" si="452">+AK105</f>
        <v>-475.26900000000001</v>
      </c>
      <c r="AL133" s="371">
        <f t="shared" si="452"/>
        <v>-520.54100000000005</v>
      </c>
      <c r="AM133" s="371">
        <f t="shared" ref="AM133:AN133" si="453">+AM105</f>
        <v>-430.3309999999999</v>
      </c>
      <c r="AN133" s="371">
        <f t="shared" si="453"/>
        <v>-481.09600000000012</v>
      </c>
      <c r="AO133" s="371">
        <f t="shared" ref="AO133" si="454">+AO105</f>
        <v>-392.76599999999996</v>
      </c>
      <c r="AP133" s="372">
        <f t="shared" ref="AP133:AS133" si="455">-AP134*AP3</f>
        <v>-530.95182000000011</v>
      </c>
      <c r="AQ133" s="372">
        <f t="shared" si="455"/>
        <v>-441.08927499999982</v>
      </c>
      <c r="AR133" s="372">
        <f t="shared" si="455"/>
        <v>-493.1234</v>
      </c>
      <c r="AS133" s="372">
        <f t="shared" si="455"/>
        <v>-402.58514999999994</v>
      </c>
      <c r="AU133" s="372">
        <v>-501.43985147425514</v>
      </c>
      <c r="AW133" s="371">
        <f t="shared" ref="AW133:BL133" si="456">+AW105</f>
        <v>-117.26900000000001</v>
      </c>
      <c r="AX133" s="371">
        <f t="shared" si="456"/>
        <v>-651.92999999999995</v>
      </c>
      <c r="AY133" s="371">
        <f t="shared" si="456"/>
        <v>-1344.3050000000001</v>
      </c>
      <c r="AZ133" s="371">
        <f t="shared" si="456"/>
        <v>-1255.7170000000001</v>
      </c>
      <c r="BA133" s="371">
        <f t="shared" si="456"/>
        <v>-1735.4749999999999</v>
      </c>
      <c r="BB133" s="371">
        <f t="shared" si="456"/>
        <v>-905.20699999999999</v>
      </c>
      <c r="BC133" s="371">
        <f t="shared" si="456"/>
        <v>-780.83900000000006</v>
      </c>
      <c r="BD133" s="371">
        <f t="shared" si="456"/>
        <v>-553.53300000000002</v>
      </c>
      <c r="BE133" s="371">
        <f t="shared" si="456"/>
        <v>-994.38499999999999</v>
      </c>
      <c r="BF133" s="371">
        <f t="shared" si="456"/>
        <v>-2949.5030000000002</v>
      </c>
      <c r="BG133" s="371">
        <f t="shared" si="456"/>
        <v>-2091.9960000000001</v>
      </c>
      <c r="BH133" s="371">
        <f t="shared" si="456"/>
        <v>-670.14099999999996</v>
      </c>
      <c r="BI133" s="371">
        <f t="shared" si="456"/>
        <v>-630.30399999999997</v>
      </c>
      <c r="BJ133" s="371">
        <f t="shared" si="456"/>
        <v>-270.59300000000002</v>
      </c>
      <c r="BK133" s="371">
        <f t="shared" si="456"/>
        <v>-1732.319</v>
      </c>
      <c r="BL133" s="371">
        <f t="shared" si="456"/>
        <v>-2567.8220000000001</v>
      </c>
      <c r="BM133" s="371">
        <v>-1498</v>
      </c>
      <c r="BN133" s="371">
        <f t="shared" ref="BN133:BY133" si="457">+BN105</f>
        <v>-1628.2270000000001</v>
      </c>
      <c r="BO133" s="371">
        <f t="shared" si="457"/>
        <v>-1318.27</v>
      </c>
      <c r="BP133" s="371">
        <f t="shared" si="457"/>
        <v>-2949.5030000000002</v>
      </c>
      <c r="BQ133" s="371">
        <f t="shared" si="457"/>
        <v>-2577.7109999999998</v>
      </c>
      <c r="BR133" s="371">
        <f t="shared" si="457"/>
        <v>-1792.0429999999999</v>
      </c>
      <c r="BS133" s="371">
        <f t="shared" si="457"/>
        <v>-771.98800000000006</v>
      </c>
      <c r="BT133" s="371">
        <f t="shared" si="457"/>
        <v>-795.28099999999995</v>
      </c>
      <c r="BU133" s="371">
        <f t="shared" si="457"/>
        <v>-2150.4740000000002</v>
      </c>
      <c r="BV133" s="371">
        <f t="shared" si="457"/>
        <v>-2141.4360000000001</v>
      </c>
      <c r="BW133" s="371">
        <f t="shared" si="457"/>
        <v>-2141.4360000000001</v>
      </c>
      <c r="BX133" s="371">
        <f t="shared" si="457"/>
        <v>-2503.3389999999999</v>
      </c>
      <c r="BY133" s="371">
        <f t="shared" si="457"/>
        <v>-1824.7339999999999</v>
      </c>
      <c r="BZ133" s="371">
        <f t="shared" ref="BZ133" si="458">+BZ105</f>
        <v>-1867.7496449999999</v>
      </c>
      <c r="CA133" s="372">
        <f>-CA134*CA3</f>
        <v>-2023.6914557475002</v>
      </c>
      <c r="CB133" s="372">
        <f>-CB134*CB3</f>
        <v>-2064.1652848624503</v>
      </c>
      <c r="CC133" s="372">
        <f>-CC134*CC3</f>
        <v>-2105.4485905596989</v>
      </c>
      <c r="CD133" s="372">
        <f>-CD134*CD3</f>
        <v>-2147.5575623708933</v>
      </c>
    </row>
    <row r="134" spans="1:82" ht="13.5" customHeight="1">
      <c r="A134" s="260" t="s">
        <v>148</v>
      </c>
      <c r="B134" s="246">
        <f t="shared" ref="B134:AJ134" si="459">-B133/(B3)</f>
        <v>-2.1082987705419044E-2</v>
      </c>
      <c r="C134" s="246">
        <f t="shared" si="459"/>
        <v>-3.1057868482892718E-2</v>
      </c>
      <c r="D134" s="246">
        <f t="shared" si="459"/>
        <v>3.1456431289241978E-2</v>
      </c>
      <c r="E134" s="246">
        <f t="shared" si="459"/>
        <v>0.33402258652653916</v>
      </c>
      <c r="F134" s="246">
        <f t="shared" si="459"/>
        <v>7.0930112015015367E-2</v>
      </c>
      <c r="G134" s="246">
        <f t="shared" si="459"/>
        <v>8.1616464039567321E-2</v>
      </c>
      <c r="H134" s="246">
        <f t="shared" si="459"/>
        <v>5.35924888056322E-2</v>
      </c>
      <c r="I134" s="246">
        <f t="shared" si="459"/>
        <v>6.6242702570205009E-2</v>
      </c>
      <c r="J134" s="246">
        <f t="shared" si="459"/>
        <v>4.8200958023431544E-2</v>
      </c>
      <c r="K134" s="246">
        <f t="shared" si="459"/>
        <v>5.7693662560425844E-2</v>
      </c>
      <c r="L134" s="246">
        <f t="shared" si="459"/>
        <v>3.792886733353542E-2</v>
      </c>
      <c r="M134" s="246">
        <f t="shared" si="459"/>
        <v>3.0362492742403702E-2</v>
      </c>
      <c r="N134" s="246">
        <f t="shared" si="459"/>
        <v>1.5162520428545488E-2</v>
      </c>
      <c r="O134" s="246">
        <f t="shared" si="459"/>
        <v>2.2771718659580439E-2</v>
      </c>
      <c r="P134" s="246">
        <f t="shared" si="459"/>
        <v>1.5338653846153851E-2</v>
      </c>
      <c r="Q134" s="246">
        <f t="shared" si="459"/>
        <v>1.7448939912971022E-2</v>
      </c>
      <c r="R134" s="246">
        <f t="shared" si="459"/>
        <v>1.2829023836155234E-2</v>
      </c>
      <c r="S134" s="246">
        <f t="shared" si="459"/>
        <v>1.7568164857364184E-2</v>
      </c>
      <c r="T134" s="246">
        <f t="shared" si="459"/>
        <v>7.9536859972394614E-3</v>
      </c>
      <c r="U134" s="246">
        <f t="shared" si="459"/>
        <v>2.9394160247865488E-2</v>
      </c>
      <c r="V134" s="246">
        <f t="shared" si="459"/>
        <v>3.7786464077607204E-2</v>
      </c>
      <c r="W134" s="246">
        <f t="shared" si="459"/>
        <v>3.0322290542625977E-2</v>
      </c>
      <c r="X134" s="246">
        <f t="shared" si="459"/>
        <v>6.2587263708082791E-2</v>
      </c>
      <c r="Y134" s="246">
        <f t="shared" si="459"/>
        <v>5.3545628586612354E-2</v>
      </c>
      <c r="Z134" s="246">
        <f t="shared" si="459"/>
        <v>4.4879115635438199E-2</v>
      </c>
      <c r="AA134" s="246">
        <f t="shared" si="459"/>
        <v>4.7422376127010807E-2</v>
      </c>
      <c r="AB134" s="246">
        <f t="shared" si="459"/>
        <v>3.6608019384086275E-2</v>
      </c>
      <c r="AC134" s="246">
        <f t="shared" si="459"/>
        <v>3.8872548425641446E-2</v>
      </c>
      <c r="AD134" s="246">
        <f t="shared" si="459"/>
        <v>2.5853716141412648E-2</v>
      </c>
      <c r="AE134" s="246">
        <f t="shared" si="459"/>
        <v>3.4374691922282451E-2</v>
      </c>
      <c r="AF134" s="246">
        <f t="shared" si="459"/>
        <v>3.3299193951276937E-2</v>
      </c>
      <c r="AG134" s="246">
        <f t="shared" si="459"/>
        <v>6.7138777974490832E-2</v>
      </c>
      <c r="AH134" s="246">
        <f t="shared" si="459"/>
        <v>4.2903056417176538E-2</v>
      </c>
      <c r="AI134" s="246">
        <f t="shared" si="459"/>
        <v>4.9382286039237992E-2</v>
      </c>
      <c r="AJ134" s="246">
        <f t="shared" si="459"/>
        <v>5.6386584927169393E-2</v>
      </c>
      <c r="AK134" s="246">
        <f t="shared" ref="AK134:AL134" si="460">-AK133/(AK3)</f>
        <v>3.4513551573711464E-2</v>
      </c>
      <c r="AL134" s="246">
        <f t="shared" si="460"/>
        <v>3.7630376635581587E-2</v>
      </c>
      <c r="AM134" s="246">
        <f t="shared" ref="AM134:AN134" si="461">-AM133/(AM3)</f>
        <v>3.0585003553660263E-2</v>
      </c>
      <c r="AN134" s="246">
        <f t="shared" si="461"/>
        <v>3.5875913497390013E-2</v>
      </c>
      <c r="AO134" s="246">
        <f t="shared" ref="AO134" si="462">-AO133/(AO3)</f>
        <v>2.7939112217612166E-2</v>
      </c>
      <c r="AP134" s="360">
        <f>+AL134</f>
        <v>3.7630376635581587E-2</v>
      </c>
      <c r="AQ134" s="360">
        <f t="shared" ref="AQ134:AS134" si="463">+AM134</f>
        <v>3.0585003553660263E-2</v>
      </c>
      <c r="AR134" s="360">
        <f t="shared" si="463"/>
        <v>3.5875913497390013E-2</v>
      </c>
      <c r="AS134" s="360">
        <f t="shared" si="463"/>
        <v>2.7939112217612166E-2</v>
      </c>
      <c r="AU134" s="297">
        <v>3.5875913497390013E-2</v>
      </c>
      <c r="AW134" s="246">
        <f t="shared" ref="AW134:BY134" si="464">-AW133/(AW3)</f>
        <v>1.1379291104970901E-2</v>
      </c>
      <c r="AX134" s="246">
        <f t="shared" si="464"/>
        <v>5.3046748153701709E-2</v>
      </c>
      <c r="AY134" s="246">
        <f t="shared" si="464"/>
        <v>9.6934199640011542E-2</v>
      </c>
      <c r="AZ134" s="246">
        <f t="shared" si="464"/>
        <v>7.8944264733118941E-2</v>
      </c>
      <c r="BA134" s="246">
        <f t="shared" si="464"/>
        <v>0.11100677979436425</v>
      </c>
      <c r="BB134" s="246">
        <f t="shared" si="464"/>
        <v>5.6237869687202562E-2</v>
      </c>
      <c r="BC134" s="246">
        <f t="shared" si="464"/>
        <v>4.5662648129383983E-2</v>
      </c>
      <c r="BD134" s="246">
        <f t="shared" si="464"/>
        <v>2.7957752621621729E-2</v>
      </c>
      <c r="BE134" s="246">
        <f t="shared" si="464"/>
        <v>4.5234037361585801E-2</v>
      </c>
      <c r="BF134" s="246">
        <f t="shared" si="464"/>
        <v>0.14685489367109078</v>
      </c>
      <c r="BG134" s="246">
        <f t="shared" si="464"/>
        <v>9.7391680993404492E-2</v>
      </c>
      <c r="BH134" s="246">
        <f t="shared" si="464"/>
        <v>2.9071442657886103E-2</v>
      </c>
      <c r="BI134" s="246">
        <f t="shared" si="464"/>
        <v>2.5516100646391638E-2</v>
      </c>
      <c r="BJ134" s="246">
        <f t="shared" si="464"/>
        <v>1.0329349483418007E-2</v>
      </c>
      <c r="BK134" s="246">
        <f t="shared" si="464"/>
        <v>6.4802266225199592E-2</v>
      </c>
      <c r="BL134" s="246">
        <f t="shared" si="464"/>
        <v>8.767300999370882E-2</v>
      </c>
      <c r="BM134" s="246">
        <f t="shared" si="464"/>
        <v>5.0475922580582554E-2</v>
      </c>
      <c r="BN134" s="246">
        <f t="shared" si="464"/>
        <v>5.5939644179327806E-2</v>
      </c>
      <c r="BO134" s="246">
        <f t="shared" si="464"/>
        <v>4.0932137548277146E-2</v>
      </c>
      <c r="BP134" s="246">
        <f t="shared" si="464"/>
        <v>8.2711121711135607E-2</v>
      </c>
      <c r="BQ134" s="246">
        <f t="shared" si="464"/>
        <v>6.8255239666830489E-2</v>
      </c>
      <c r="BR134" s="246">
        <f t="shared" si="464"/>
        <v>4.3679746031770786E-2</v>
      </c>
      <c r="BS134" s="246">
        <f t="shared" si="464"/>
        <v>1.7746471575354174E-2</v>
      </c>
      <c r="BT134" s="246">
        <f t="shared" si="464"/>
        <v>1.7028516112330937E-2</v>
      </c>
      <c r="BU134" s="246">
        <f t="shared" si="464"/>
        <v>4.5858226996084772E-2</v>
      </c>
      <c r="BV134" s="246">
        <f t="shared" si="464"/>
        <v>4.194380963730085E-2</v>
      </c>
      <c r="BW134" s="246">
        <f t="shared" si="464"/>
        <v>4.0171719112446172E-2</v>
      </c>
      <c r="BX134" s="246">
        <f t="shared" si="464"/>
        <v>4.569578029508832E-2</v>
      </c>
      <c r="BY134" s="246">
        <f t="shared" si="464"/>
        <v>3.2954730918628113E-2</v>
      </c>
      <c r="BZ134" s="246">
        <f t="shared" ref="BZ134" si="465">-BZ133/(BZ3)</f>
        <v>3.2949025967928793E-2</v>
      </c>
      <c r="CA134" s="360">
        <v>3.5000000000000003E-2</v>
      </c>
      <c r="CB134" s="360">
        <v>3.5000000000000003E-2</v>
      </c>
      <c r="CC134" s="360">
        <v>3.5000000000000003E-2</v>
      </c>
      <c r="CD134" s="360">
        <v>3.5000000000000003E-2</v>
      </c>
    </row>
    <row r="135" spans="1:82" ht="13.5" customHeight="1">
      <c r="A135" s="260" t="s">
        <v>149</v>
      </c>
      <c r="B135" s="246">
        <f t="shared" ref="B135:AJ135" si="466">+B133/B65</f>
        <v>-0.45078278677481071</v>
      </c>
      <c r="C135" s="246">
        <f t="shared" si="466"/>
        <v>-0.66490269468335772</v>
      </c>
      <c r="D135" s="246">
        <f t="shared" si="466"/>
        <v>0.66531073610777591</v>
      </c>
      <c r="E135" s="246">
        <f t="shared" si="466"/>
        <v>8.516880074146755</v>
      </c>
      <c r="F135" s="246">
        <f t="shared" si="466"/>
        <v>1.5499503603176024</v>
      </c>
      <c r="G135" s="246">
        <f t="shared" si="466"/>
        <v>1.8886469193856115</v>
      </c>
      <c r="H135" s="246">
        <f t="shared" si="466"/>
        <v>1.339646025395721</v>
      </c>
      <c r="I135" s="246">
        <f t="shared" si="466"/>
        <v>1.6414945630042581</v>
      </c>
      <c r="J135" s="246">
        <f t="shared" si="466"/>
        <v>1.1826923076923077</v>
      </c>
      <c r="K135" s="246">
        <f t="shared" si="466"/>
        <v>1.5158684863523573</v>
      </c>
      <c r="L135" s="246">
        <f t="shared" si="466"/>
        <v>1.0398393351800557</v>
      </c>
      <c r="M135" s="246">
        <f t="shared" si="466"/>
        <v>0.82065083774042835</v>
      </c>
      <c r="N135" s="246">
        <f t="shared" si="466"/>
        <v>0.3353413654618474</v>
      </c>
      <c r="O135" s="246">
        <f t="shared" si="466"/>
        <v>0.50914176923793175</v>
      </c>
      <c r="P135" s="246">
        <f t="shared" si="466"/>
        <v>0.3301167769318481</v>
      </c>
      <c r="Q135" s="246">
        <f t="shared" si="466"/>
        <v>0.41019468718372859</v>
      </c>
      <c r="R135" s="246">
        <f t="shared" si="466"/>
        <v>0.29252025702779921</v>
      </c>
      <c r="S135" s="246">
        <f t="shared" si="466"/>
        <v>0.42377063443494439</v>
      </c>
      <c r="T135" s="246">
        <f t="shared" si="466"/>
        <v>0.18193605039453176</v>
      </c>
      <c r="U135" s="246">
        <f t="shared" si="466"/>
        <v>0.76646281717741671</v>
      </c>
      <c r="V135" s="246">
        <f t="shared" si="466"/>
        <v>0.91328443113772451</v>
      </c>
      <c r="W135" s="246">
        <f t="shared" si="466"/>
        <v>0.73136728395061734</v>
      </c>
      <c r="X135" s="246">
        <f t="shared" si="466"/>
        <v>1.4272893769211752</v>
      </c>
      <c r="Y135" s="246">
        <f t="shared" si="466"/>
        <v>1.3918077291600131</v>
      </c>
      <c r="Z135" s="246">
        <f t="shared" si="466"/>
        <v>1.108664047151277</v>
      </c>
      <c r="AA135" s="246">
        <f t="shared" si="466"/>
        <v>1.1782350674373798</v>
      </c>
      <c r="AB135" s="246">
        <f t="shared" si="466"/>
        <v>0.93113916500993998</v>
      </c>
      <c r="AC135" s="246">
        <f t="shared" si="466"/>
        <v>1.1360051721853399</v>
      </c>
      <c r="AD135" s="246">
        <f t="shared" si="466"/>
        <v>0.72530380425667595</v>
      </c>
      <c r="AE135" s="246">
        <f t="shared" si="466"/>
        <v>0.97617627691428432</v>
      </c>
      <c r="AF135" s="246">
        <f t="shared" si="466"/>
        <v>0.86807139815559575</v>
      </c>
      <c r="AG135" s="246">
        <f t="shared" si="466"/>
        <v>1.6858352737925342</v>
      </c>
      <c r="AH135" s="246">
        <f t="shared" si="466"/>
        <v>1.197281293257672</v>
      </c>
      <c r="AI135" s="246">
        <f t="shared" si="466"/>
        <v>1.4025450162621818</v>
      </c>
      <c r="AJ135" s="246">
        <f t="shared" si="466"/>
        <v>1.4840390944649517</v>
      </c>
      <c r="AK135" s="246">
        <f t="shared" ref="AK135:AL135" si="467">+AK133/AK65</f>
        <v>0.85111881161522551</v>
      </c>
      <c r="AL135" s="246">
        <f t="shared" si="467"/>
        <v>1.0533215969566363</v>
      </c>
      <c r="AM135" s="246">
        <f t="shared" ref="AM135:AN135" si="468">+AM133/AM65</f>
        <v>0.82346919054006695</v>
      </c>
      <c r="AN135" s="246">
        <f t="shared" si="468"/>
        <v>0.95854187254933276</v>
      </c>
      <c r="AO135" s="246">
        <f t="shared" ref="AO135" si="469">+AO133/AO65</f>
        <v>0.78881346401028252</v>
      </c>
      <c r="AP135" s="280">
        <f t="shared" ref="AP135:AS135" si="470">+AP133/AP65</f>
        <v>1.0660471456535303</v>
      </c>
      <c r="AQ135" s="280">
        <f t="shared" si="470"/>
        <v>0.84057196756980024</v>
      </c>
      <c r="AR135" s="280">
        <f t="shared" si="470"/>
        <v>0.9946309043622068</v>
      </c>
      <c r="AS135" s="280">
        <f t="shared" si="470"/>
        <v>0.81880455851537792</v>
      </c>
      <c r="AU135" s="280">
        <v>0.88054063793786153</v>
      </c>
      <c r="AW135" s="246">
        <f t="shared" ref="AW135:CD135" si="471">+AW133/AW65</f>
        <v>0.19157156346076562</v>
      </c>
      <c r="AX135" s="246">
        <f t="shared" si="471"/>
        <v>0.91883633514066598</v>
      </c>
      <c r="AY135" s="246">
        <f t="shared" si="471"/>
        <v>1.6560742206267509</v>
      </c>
      <c r="AZ135" s="246">
        <f t="shared" si="471"/>
        <v>1.5020646081191971</v>
      </c>
      <c r="BA135" s="246">
        <f t="shared" si="471"/>
        <v>1.8640356765779014</v>
      </c>
      <c r="BB135" s="246">
        <f t="shared" si="471"/>
        <v>0.83528295775726602</v>
      </c>
      <c r="BC135" s="246">
        <f t="shared" si="471"/>
        <v>0.66660548453685697</v>
      </c>
      <c r="BD135" s="246">
        <f t="shared" si="471"/>
        <v>0.44603463794380221</v>
      </c>
      <c r="BE135" s="246">
        <f t="shared" si="471"/>
        <v>0.77388081713209944</v>
      </c>
      <c r="BF135" s="246">
        <f t="shared" si="471"/>
        <v>2.9455677215240441</v>
      </c>
      <c r="BG135" s="246">
        <f t="shared" si="471"/>
        <v>2.0009430849206842</v>
      </c>
      <c r="BH135" s="246">
        <f t="shared" si="471"/>
        <v>0.58021217444607887</v>
      </c>
      <c r="BI135" s="246">
        <f t="shared" si="471"/>
        <v>0.52779068706138088</v>
      </c>
      <c r="BJ135" s="246">
        <f t="shared" si="471"/>
        <v>0.22746878528022005</v>
      </c>
      <c r="BK135" s="246">
        <f t="shared" si="471"/>
        <v>1.2898875651526434</v>
      </c>
      <c r="BL135" s="246">
        <f t="shared" si="471"/>
        <v>1.7136246608216092</v>
      </c>
      <c r="BM135" s="246">
        <f t="shared" si="471"/>
        <v>0.9875319151460894</v>
      </c>
      <c r="BN135" s="246">
        <f t="shared" si="471"/>
        <v>1.0075662128712872</v>
      </c>
      <c r="BO135" s="246">
        <f t="shared" si="471"/>
        <v>0.7918617132786272</v>
      </c>
      <c r="BP135" s="246">
        <f t="shared" si="471"/>
        <v>1.8423811573227626</v>
      </c>
      <c r="BQ135" s="246">
        <f t="shared" si="471"/>
        <v>6.772168992178818</v>
      </c>
      <c r="BR135" s="246">
        <f t="shared" si="471"/>
        <v>4.6870648483802295</v>
      </c>
      <c r="BS135" s="246">
        <f t="shared" si="471"/>
        <v>1.6802254845414677</v>
      </c>
      <c r="BT135" s="246">
        <f t="shared" si="471"/>
        <v>0.40714009629684611</v>
      </c>
      <c r="BU135" s="246">
        <f t="shared" si="471"/>
        <v>1.1111947050583353</v>
      </c>
      <c r="BV135" s="246">
        <f t="shared" si="471"/>
        <v>1.0877267837169824</v>
      </c>
      <c r="BW135" s="246">
        <f t="shared" si="471"/>
        <v>1.0790700018140407</v>
      </c>
      <c r="BX135" s="246">
        <f t="shared" si="471"/>
        <v>1.2225286947671821</v>
      </c>
      <c r="BY135" s="246">
        <f t="shared" si="471"/>
        <v>0.90485803559164268</v>
      </c>
      <c r="BZ135" s="246">
        <f t="shared" ref="BZ135" si="472">+BZ133/BZ65</f>
        <v>0.92910610051733433</v>
      </c>
      <c r="CA135" s="280">
        <f t="shared" si="471"/>
        <v>1.0142361606135337</v>
      </c>
      <c r="CB135" s="280">
        <f t="shared" si="471"/>
        <v>1.0329752673506478</v>
      </c>
      <c r="CC135" s="280">
        <f t="shared" si="471"/>
        <v>1.0499956661787802</v>
      </c>
      <c r="CD135" s="280">
        <f t="shared" si="471"/>
        <v>1.0653971934392947</v>
      </c>
    </row>
    <row r="136" spans="1:82" ht="13.5" customHeight="1">
      <c r="A136" s="260" t="s">
        <v>150</v>
      </c>
      <c r="B136" s="272">
        <f t="shared" ref="B136:AJ136" si="473">B3/B67</f>
        <v>0.556157719275441</v>
      </c>
      <c r="C136" s="272">
        <f t="shared" si="473"/>
        <v>0.56359911714205202</v>
      </c>
      <c r="D136" s="272">
        <f t="shared" si="473"/>
        <v>0.55718787404443837</v>
      </c>
      <c r="E136" s="272">
        <f t="shared" si="473"/>
        <v>0.5755765893676017</v>
      </c>
      <c r="F136" s="272">
        <f t="shared" si="473"/>
        <v>0.57473537650819284</v>
      </c>
      <c r="G136" s="272">
        <f t="shared" si="473"/>
        <v>0.56488695915625775</v>
      </c>
      <c r="H136" s="272">
        <f t="shared" si="473"/>
        <v>0.53543739497278209</v>
      </c>
      <c r="I136" s="272">
        <f t="shared" si="473"/>
        <v>0.53970898101240039</v>
      </c>
      <c r="J136" s="272">
        <f t="shared" si="473"/>
        <v>0.58022203274215556</v>
      </c>
      <c r="K136" s="272">
        <f t="shared" si="473"/>
        <v>0.59360531232174407</v>
      </c>
      <c r="L136" s="272">
        <f t="shared" si="473"/>
        <v>0.55305738133784232</v>
      </c>
      <c r="M136" s="272">
        <f t="shared" si="473"/>
        <v>0.57836757514888748</v>
      </c>
      <c r="N136" s="272">
        <f t="shared" si="473"/>
        <v>0.62455344485398356</v>
      </c>
      <c r="O136" s="272">
        <f t="shared" si="473"/>
        <v>0.64790912222286012</v>
      </c>
      <c r="P136" s="272">
        <f t="shared" si="473"/>
        <v>0.60253203659941812</v>
      </c>
      <c r="Q136" s="272">
        <f t="shared" si="473"/>
        <v>0.63201441795691005</v>
      </c>
      <c r="R136" s="272">
        <f t="shared" si="473"/>
        <v>0.69447050107711417</v>
      </c>
      <c r="S136" s="272">
        <f t="shared" si="473"/>
        <v>0.74142586957657042</v>
      </c>
      <c r="T136" s="272">
        <f t="shared" si="473"/>
        <v>0.67878971568454149</v>
      </c>
      <c r="U136" s="272">
        <f t="shared" si="473"/>
        <v>0.70715812972178249</v>
      </c>
      <c r="V136" s="272">
        <f t="shared" si="473"/>
        <v>0.73654613339068853</v>
      </c>
      <c r="W136" s="272">
        <f t="shared" si="473"/>
        <v>0.71317882751249406</v>
      </c>
      <c r="X136" s="272">
        <f t="shared" si="473"/>
        <v>0.67675295038236416</v>
      </c>
      <c r="Y136" s="272">
        <f t="shared" si="473"/>
        <v>0.68648931341907093</v>
      </c>
      <c r="Z136" s="272">
        <f t="shared" si="473"/>
        <v>0.72815126366731353</v>
      </c>
      <c r="AA136" s="272">
        <f t="shared" si="473"/>
        <v>0.73734431093109398</v>
      </c>
      <c r="AB136" s="272">
        <f t="shared" si="473"/>
        <v>0.72762070134923762</v>
      </c>
      <c r="AC136" s="272">
        <f t="shared" si="473"/>
        <v>0.71994644090396698</v>
      </c>
      <c r="AD136" s="272">
        <f t="shared" si="473"/>
        <v>0.76368599536061743</v>
      </c>
      <c r="AE136" s="272">
        <f t="shared" si="473"/>
        <v>0.76886719781053969</v>
      </c>
      <c r="AF136" s="272">
        <f t="shared" si="473"/>
        <v>0.70884957870842247</v>
      </c>
      <c r="AG136" s="272">
        <f t="shared" si="473"/>
        <v>0.74598004456324063</v>
      </c>
      <c r="AH136" s="272">
        <f t="shared" si="473"/>
        <v>0.76039478879235245</v>
      </c>
      <c r="AI136" s="272">
        <f t="shared" si="473"/>
        <v>0.76318799488141065</v>
      </c>
      <c r="AJ136" s="272">
        <f t="shared" si="473"/>
        <v>0.69976135642239123</v>
      </c>
      <c r="AK136" s="272">
        <f t="shared" ref="AK136:AL136" si="474">AK3/AK67</f>
        <v>0.73085465732954846</v>
      </c>
      <c r="AL136" s="272">
        <f t="shared" si="474"/>
        <v>0.72886957929266394</v>
      </c>
      <c r="AM136" s="272">
        <f t="shared" ref="AM136:AN136" si="475">AM3/AM67</f>
        <v>0.73986744436007523</v>
      </c>
      <c r="AN136" s="272">
        <f t="shared" si="475"/>
        <v>0.70136834296315731</v>
      </c>
      <c r="AO136" s="272">
        <f t="shared" ref="AO136" si="476">AO3/AO67</f>
        <v>0.73499920424342158</v>
      </c>
      <c r="AP136" s="312">
        <f t="shared" ref="AP136:AS136" si="477">AP3/AP67</f>
        <v>0.73643740781936207</v>
      </c>
      <c r="AQ136" s="312">
        <f t="shared" si="477"/>
        <v>0.75602779632931494</v>
      </c>
      <c r="AR136" s="312">
        <f t="shared" si="477"/>
        <v>0.72066437106752468</v>
      </c>
      <c r="AS136" s="312">
        <f t="shared" si="477"/>
        <v>0.75902988843719132</v>
      </c>
      <c r="AU136" s="312">
        <v>0.73363702117666296</v>
      </c>
      <c r="AW136" s="272">
        <f t="shared" ref="AW136:CD136" si="478">AW3/AW67</f>
        <v>1.0318142583649947</v>
      </c>
      <c r="AX136" s="272">
        <f t="shared" si="478"/>
        <v>1.0090588243504706</v>
      </c>
      <c r="AY136" s="272">
        <f t="shared" si="478"/>
        <v>1.0681932825828975</v>
      </c>
      <c r="AZ136" s="272">
        <f t="shared" si="478"/>
        <v>1.1428700552956188</v>
      </c>
      <c r="BA136" s="272">
        <f t="shared" si="478"/>
        <v>1.0528240534287185</v>
      </c>
      <c r="BB136" s="272">
        <f t="shared" si="478"/>
        <v>0.99793055162123334</v>
      </c>
      <c r="BC136" s="272">
        <f t="shared" si="478"/>
        <v>0.99744510752177007</v>
      </c>
      <c r="BD136" s="272">
        <f t="shared" si="478"/>
        <v>1.1552520887291831</v>
      </c>
      <c r="BE136" s="272">
        <f t="shared" si="478"/>
        <v>1.322466540410459</v>
      </c>
      <c r="BF136" s="272">
        <f t="shared" si="478"/>
        <v>1.4827653618086891</v>
      </c>
      <c r="BG136" s="272">
        <f t="shared" si="478"/>
        <v>1.4776373907545617</v>
      </c>
      <c r="BH136" s="272">
        <f t="shared" si="478"/>
        <v>1.5948744051874484</v>
      </c>
      <c r="BI136" s="272">
        <f t="shared" si="478"/>
        <v>1.7206753973969688</v>
      </c>
      <c r="BJ136" s="272">
        <f t="shared" si="478"/>
        <v>1.8648439879193306</v>
      </c>
      <c r="BK136" s="272">
        <f t="shared" si="478"/>
        <v>1.6480430970781623</v>
      </c>
      <c r="BL136" s="272">
        <f t="shared" si="478"/>
        <v>1.8614587695504445</v>
      </c>
      <c r="BM136" s="272">
        <f t="shared" si="478"/>
        <v>1.8690211586747254</v>
      </c>
      <c r="BN136" s="272">
        <f t="shared" si="478"/>
        <v>1.8214979901905075</v>
      </c>
      <c r="BO136" s="272">
        <f t="shared" si="478"/>
        <v>2.0552333406124714</v>
      </c>
      <c r="BP136" s="272">
        <f t="shared" si="478"/>
        <v>2.1879184950043045</v>
      </c>
      <c r="BQ136" s="272">
        <f t="shared" si="478"/>
        <v>2.1609764292655949</v>
      </c>
      <c r="BR136" s="272">
        <f t="shared" si="478"/>
        <v>2.2961687485623363</v>
      </c>
      <c r="BS136" s="272">
        <f t="shared" si="478"/>
        <v>2.5454323046495575</v>
      </c>
      <c r="BT136" s="272">
        <f t="shared" si="478"/>
        <v>2.8529315750590314</v>
      </c>
      <c r="BU136" s="272">
        <f t="shared" si="478"/>
        <v>2.74694481667377</v>
      </c>
      <c r="BV136" s="272">
        <f t="shared" si="478"/>
        <v>2.8734111708569721</v>
      </c>
      <c r="BW136" s="272">
        <f t="shared" si="478"/>
        <v>2.9739541198012414</v>
      </c>
      <c r="BX136" s="272">
        <f t="shared" si="478"/>
        <v>2.9075336574911583</v>
      </c>
      <c r="BY136" s="272">
        <f t="shared" si="478"/>
        <v>2.8949920769414001</v>
      </c>
      <c r="BZ136" s="272">
        <f t="shared" ref="BZ136" si="479">BZ3/BZ67</f>
        <v>2.986000047349517</v>
      </c>
      <c r="CA136" s="312">
        <f t="shared" si="478"/>
        <v>3.041169618083873</v>
      </c>
      <c r="CB136" s="312">
        <f t="shared" si="478"/>
        <v>3.0912791622712619</v>
      </c>
      <c r="CC136" s="312">
        <f t="shared" si="478"/>
        <v>3.1366226068407506</v>
      </c>
      <c r="CD136" s="312">
        <f t="shared" si="478"/>
        <v>3.1775144081770392</v>
      </c>
    </row>
    <row r="137" spans="1:82" ht="13.5" customHeight="1">
      <c r="A137" s="260" t="s">
        <v>151</v>
      </c>
      <c r="B137" s="248">
        <f t="shared" ref="B137:AJ137" si="480">-B65/B3</f>
        <v>4.6769726626565013E-2</v>
      </c>
      <c r="C137" s="248">
        <f t="shared" si="480"/>
        <v>4.6710396470393614E-2</v>
      </c>
      <c r="D137" s="248">
        <f t="shared" si="480"/>
        <v>4.7280811178952997E-2</v>
      </c>
      <c r="E137" s="248">
        <f t="shared" si="480"/>
        <v>3.9218890440934434E-2</v>
      </c>
      <c r="F137" s="248">
        <f t="shared" si="480"/>
        <v>4.5762828172433198E-2</v>
      </c>
      <c r="G137" s="248">
        <f t="shared" si="480"/>
        <v>4.3214252066827642E-2</v>
      </c>
      <c r="H137" s="248">
        <f t="shared" si="480"/>
        <v>4.0004962348021297E-2</v>
      </c>
      <c r="I137" s="248">
        <f t="shared" si="480"/>
        <v>4.0355115431493005E-2</v>
      </c>
      <c r="J137" s="248">
        <f t="shared" si="480"/>
        <v>4.0755281580787651E-2</v>
      </c>
      <c r="K137" s="248">
        <f t="shared" si="480"/>
        <v>3.8059807351265955E-2</v>
      </c>
      <c r="L137" s="248">
        <f t="shared" si="480"/>
        <v>3.6475699706981911E-2</v>
      </c>
      <c r="M137" s="248">
        <f t="shared" si="480"/>
        <v>3.6998064640990903E-2</v>
      </c>
      <c r="N137" s="248">
        <f t="shared" si="480"/>
        <v>4.5215180679135644E-2</v>
      </c>
      <c r="O137" s="248">
        <f t="shared" si="480"/>
        <v>4.4725693383327145E-2</v>
      </c>
      <c r="P137" s="248">
        <f t="shared" si="480"/>
        <v>4.6464326923076928E-2</v>
      </c>
      <c r="Q137" s="248">
        <f t="shared" si="480"/>
        <v>4.2538190908249236E-2</v>
      </c>
      <c r="R137" s="248">
        <f t="shared" si="480"/>
        <v>4.3856873252152408E-2</v>
      </c>
      <c r="S137" s="248">
        <f t="shared" si="480"/>
        <v>4.1456777392774202E-2</v>
      </c>
      <c r="T137" s="248">
        <f t="shared" si="480"/>
        <v>4.3716932295670613E-2</v>
      </c>
      <c r="U137" s="248">
        <f t="shared" si="480"/>
        <v>3.8350406032888459E-2</v>
      </c>
      <c r="V137" s="248">
        <f t="shared" si="480"/>
        <v>4.1374256244064843E-2</v>
      </c>
      <c r="W137" s="248">
        <f t="shared" si="480"/>
        <v>4.1459730573173093E-2</v>
      </c>
      <c r="X137" s="248">
        <f t="shared" si="480"/>
        <v>4.3850437563748013E-2</v>
      </c>
      <c r="Y137" s="248">
        <f t="shared" si="480"/>
        <v>3.8472001171403418E-2</v>
      </c>
      <c r="Z137" s="248">
        <f t="shared" si="480"/>
        <v>4.0480356290758711E-2</v>
      </c>
      <c r="AA137" s="248">
        <f t="shared" si="480"/>
        <v>4.0248654481276659E-2</v>
      </c>
      <c r="AB137" s="248">
        <f t="shared" si="480"/>
        <v>3.9315304048772863E-2</v>
      </c>
      <c r="AC137" s="248">
        <f t="shared" si="480"/>
        <v>3.4218636831434571E-2</v>
      </c>
      <c r="AD137" s="248">
        <f t="shared" si="480"/>
        <v>3.5645361281275371E-2</v>
      </c>
      <c r="AE137" s="248">
        <f t="shared" si="480"/>
        <v>3.5213611245441909E-2</v>
      </c>
      <c r="AF137" s="248">
        <f t="shared" si="480"/>
        <v>3.8359971336491709E-2</v>
      </c>
      <c r="AG137" s="248">
        <f t="shared" si="480"/>
        <v>3.9825230269059618E-2</v>
      </c>
      <c r="AH137" s="248">
        <f t="shared" si="480"/>
        <v>3.5833731520553531E-2</v>
      </c>
      <c r="AI137" s="248">
        <f t="shared" si="480"/>
        <v>3.5209056013647995E-2</v>
      </c>
      <c r="AJ137" s="248">
        <f t="shared" si="480"/>
        <v>3.7995350080382309E-2</v>
      </c>
      <c r="AK137" s="248">
        <f t="shared" ref="AK137:AL137" si="481">-AK65/AK3</f>
        <v>4.0550803369288443E-2</v>
      </c>
      <c r="AL137" s="248">
        <f t="shared" si="481"/>
        <v>3.5725439167208849E-2</v>
      </c>
      <c r="AM137" s="248">
        <f t="shared" ref="AM137:AN137" si="482">-AM65/AM3</f>
        <v>3.7141648898365319E-2</v>
      </c>
      <c r="AN137" s="248">
        <f t="shared" si="482"/>
        <v>3.7427591349738991E-2</v>
      </c>
      <c r="AO137" s="248">
        <f t="shared" ref="AO137" si="483">-AO65/AO3</f>
        <v>3.5419162441233346E-2</v>
      </c>
      <c r="AP137" s="280">
        <f t="shared" ref="AP137:AS137" si="484">-AP65/AP3</f>
        <v>3.5298979776839642E-2</v>
      </c>
      <c r="AQ137" s="280">
        <f t="shared" si="484"/>
        <v>3.6385942826627174E-2</v>
      </c>
      <c r="AR137" s="280">
        <f t="shared" si="484"/>
        <v>3.6069574492454508E-2</v>
      </c>
      <c r="AS137" s="280">
        <f t="shared" si="484"/>
        <v>3.4121832770777669E-2</v>
      </c>
      <c r="AU137" s="280">
        <v>4.0743052565305596E-2</v>
      </c>
      <c r="AW137" s="248">
        <f t="shared" ref="AW137:CD137" si="485">-AW65/AW3</f>
        <v>5.9399688029906438E-2</v>
      </c>
      <c r="AX137" s="248">
        <f t="shared" si="485"/>
        <v>5.7732532035295173E-2</v>
      </c>
      <c r="AY137" s="248">
        <f t="shared" si="485"/>
        <v>5.8532521328256787E-2</v>
      </c>
      <c r="AZ137" s="248">
        <f t="shared" si="485"/>
        <v>5.255716984901776E-2</v>
      </c>
      <c r="BA137" s="248">
        <f t="shared" si="485"/>
        <v>5.9551853641640902E-2</v>
      </c>
      <c r="BB137" s="248">
        <f t="shared" si="485"/>
        <v>6.7327926620460679E-2</v>
      </c>
      <c r="BC137" s="248">
        <f t="shared" si="485"/>
        <v>6.8500258681653964E-2</v>
      </c>
      <c r="BD137" s="248">
        <f t="shared" si="485"/>
        <v>6.2680675990783127E-2</v>
      </c>
      <c r="BE137" s="248">
        <f t="shared" si="485"/>
        <v>5.8450909184203835E-2</v>
      </c>
      <c r="BF137" s="248">
        <f t="shared" si="485"/>
        <v>4.98562272386349E-2</v>
      </c>
      <c r="BG137" s="248">
        <f t="shared" si="485"/>
        <v>4.8672889162794469E-2</v>
      </c>
      <c r="BH137" s="248">
        <f t="shared" si="485"/>
        <v>5.0104847740639419E-2</v>
      </c>
      <c r="BI137" s="248">
        <f t="shared" si="485"/>
        <v>4.8345113454842319E-2</v>
      </c>
      <c r="BJ137" s="248">
        <f t="shared" si="485"/>
        <v>4.5409964583462407E-2</v>
      </c>
      <c r="BK137" s="248">
        <f t="shared" si="485"/>
        <v>5.0238693647326541E-2</v>
      </c>
      <c r="BL137" s="248">
        <f t="shared" si="485"/>
        <v>5.1162318095768641E-2</v>
      </c>
      <c r="BM137" s="248">
        <f t="shared" si="485"/>
        <v>5.1113206374819239E-2</v>
      </c>
      <c r="BN137" s="248">
        <f t="shared" si="485"/>
        <v>5.5519571284466926E-2</v>
      </c>
      <c r="BO137" s="248">
        <f t="shared" si="485"/>
        <v>5.1691017335339484E-2</v>
      </c>
      <c r="BP137" s="248">
        <f t="shared" si="485"/>
        <v>4.4893599450032594E-2</v>
      </c>
      <c r="BQ137" s="248">
        <f t="shared" si="485"/>
        <v>1.0078785651341321E-2</v>
      </c>
      <c r="BR137" s="248">
        <f t="shared" si="485"/>
        <v>9.3192109443217489E-3</v>
      </c>
      <c r="BS137" s="248">
        <f t="shared" si="485"/>
        <v>1.0561958343464342E-2</v>
      </c>
      <c r="BT137" s="248">
        <f t="shared" si="485"/>
        <v>4.1824709153468961E-2</v>
      </c>
      <c r="BU137" s="248">
        <f t="shared" si="485"/>
        <v>4.1269299419202425E-2</v>
      </c>
      <c r="BV137" s="248">
        <f t="shared" si="485"/>
        <v>3.8560978974858343E-2</v>
      </c>
      <c r="BW137" s="248">
        <f t="shared" si="485"/>
        <v>3.7228093677808563E-2</v>
      </c>
      <c r="BX137" s="248">
        <f t="shared" si="485"/>
        <v>3.7378084040629096E-2</v>
      </c>
      <c r="BY137" s="248">
        <f t="shared" si="485"/>
        <v>3.6419780365967144E-2</v>
      </c>
      <c r="BZ137" s="248">
        <f t="shared" ref="BZ137" si="486">-BZ65/BZ3</f>
        <v>3.5463146727357071E-2</v>
      </c>
      <c r="CA137" s="280">
        <f t="shared" si="485"/>
        <v>3.4508728202737059E-2</v>
      </c>
      <c r="CB137" s="280">
        <f t="shared" si="485"/>
        <v>3.3882708624541645E-2</v>
      </c>
      <c r="CC137" s="280">
        <f t="shared" si="485"/>
        <v>3.3333470915527227E-2</v>
      </c>
      <c r="CD137" s="280">
        <f t="shared" si="485"/>
        <v>3.2851597709783409E-2</v>
      </c>
    </row>
    <row r="138" spans="1:82" ht="13.5" customHeight="1">
      <c r="A138" s="260" t="s">
        <v>152</v>
      </c>
      <c r="B138" s="264">
        <f>-B133/FAT!B3</f>
        <v>-10.207852578326085</v>
      </c>
      <c r="C138" s="264">
        <f>-C133/FAT!C3</f>
        <v>-15.147647633827242</v>
      </c>
      <c r="D138" s="264">
        <f>-D133/FAT!D3</f>
        <v>14.618602965473869</v>
      </c>
      <c r="E138" s="264">
        <f>-E133/FAT!E3</f>
        <v>157.89902797164035</v>
      </c>
      <c r="F138" s="264">
        <f>-F133/FAT!F3</f>
        <v>33.301444080668311</v>
      </c>
      <c r="G138" s="264">
        <f>-G133/FAT!G3</f>
        <v>42.266776513838572</v>
      </c>
      <c r="H138" s="264">
        <f>-H133/FAT!H3</f>
        <v>27.661876590792129</v>
      </c>
      <c r="I138" s="264">
        <f>-I133/FAT!I3</f>
        <v>32.908131576923743</v>
      </c>
      <c r="J138" s="264">
        <f>-J133/FAT!J3</f>
        <v>26.284392147971921</v>
      </c>
      <c r="K138" s="264">
        <f>-K133/FAT!K3</f>
        <v>31.464356321884623</v>
      </c>
      <c r="L138" s="264">
        <f>-L133/FAT!L3</f>
        <v>19.817281764724996</v>
      </c>
      <c r="M138" s="264">
        <f>-M133/FAT!M3</f>
        <v>15.816986764666</v>
      </c>
      <c r="N138" s="264">
        <f>-N133/FAT!N3</f>
        <v>8.6976937033271025</v>
      </c>
      <c r="O138" s="264">
        <f>-O133/FAT!O3</f>
        <v>13.45028627652114</v>
      </c>
      <c r="P138" s="264">
        <f>-P133/FAT!P3</f>
        <v>8.2069087387743522</v>
      </c>
      <c r="Q138" s="264">
        <f>-Q133/FAT!Q3</f>
        <v>9.7930946738974889</v>
      </c>
      <c r="R138" s="264">
        <f>-R133/FAT!R3</f>
        <v>7.4999515387746749</v>
      </c>
      <c r="S138" s="264">
        <f>-S133/FAT!S3</f>
        <v>9.29567839843196</v>
      </c>
      <c r="T138" s="264">
        <f>-T133/FAT!T3</f>
        <v>3.9969384989588006</v>
      </c>
      <c r="U138" s="264">
        <f>-U133/FAT!U3</f>
        <v>16.570555430860342</v>
      </c>
      <c r="V138" s="264">
        <f>-V133/FAT!V3</f>
        <v>22.495025653355899</v>
      </c>
      <c r="W138" s="264">
        <f>-W133/FAT!W3</f>
        <v>17.754053043861411</v>
      </c>
      <c r="X138" s="264">
        <f>-X133/FAT!X3</f>
        <v>35.438996092857771</v>
      </c>
      <c r="Y138" s="264">
        <f>-Y133/FAT!Y3</f>
        <v>30.244541862921352</v>
      </c>
      <c r="Z138" s="264">
        <f>-Z133/FAT!Z3</f>
        <v>27.524908643664432</v>
      </c>
      <c r="AA138" s="264">
        <f>-AA133/FAT!AA3</f>
        <v>30.529316785280717</v>
      </c>
      <c r="AB138" s="264">
        <f>-AB133/FAT!AB3</f>
        <v>23.147617481507027</v>
      </c>
      <c r="AC138" s="264">
        <f>-AC133/FAT!AC3</f>
        <v>25.28002569781464</v>
      </c>
      <c r="AD138" s="264">
        <f>-AD133/FAT!AD3</f>
        <v>18.780423669705758</v>
      </c>
      <c r="AE138" s="264">
        <f>-AE133/FAT!AE3</f>
        <v>26.673464276770058</v>
      </c>
      <c r="AF138" s="264">
        <f>-AF133/FAT!AF3</f>
        <v>24.72038362838056</v>
      </c>
      <c r="AG138" s="264">
        <f>-AG133/FAT!AG3</f>
        <v>51.143972069806551</v>
      </c>
      <c r="AH138" s="264">
        <f>-AH133/FAT!AH3</f>
        <v>34.847747448590788</v>
      </c>
      <c r="AI138" s="264">
        <f>-AI133/FAT!AI3</f>
        <v>40.280778106154976</v>
      </c>
      <c r="AJ138" s="264">
        <f>-AJ133/FAT!AJ3</f>
        <v>39.147916235345363</v>
      </c>
      <c r="AK138" s="264">
        <f>-AK133/FAT!AK3</f>
        <v>23.66357537037619</v>
      </c>
      <c r="AL138" s="264">
        <f>-AL133/FAT!AL3</f>
        <v>25.49334483422788</v>
      </c>
      <c r="AM138" s="264">
        <f>-AM133/FAT!AM3</f>
        <v>22.076369367141002</v>
      </c>
      <c r="AN138" s="264">
        <f>-AN133/FAT!AN3</f>
        <v>25.826058715271291</v>
      </c>
      <c r="AO138" s="264">
        <f>-AO133/FAT!AO3</f>
        <v>21.460533400622683</v>
      </c>
      <c r="AP138" s="303"/>
      <c r="AQ138" s="303"/>
      <c r="AR138" s="303"/>
      <c r="AS138" s="303"/>
      <c r="AU138" s="303"/>
      <c r="AW138" s="264" t="e">
        <f>-AW133/FAT!#REF!</f>
        <v>#REF!</v>
      </c>
      <c r="AX138" s="264" t="e">
        <f>-AX133/FAT!#REF!</f>
        <v>#REF!</v>
      </c>
      <c r="AY138" s="264" t="e">
        <f>-AY133/FAT!#REF!</f>
        <v>#REF!</v>
      </c>
      <c r="AZ138" s="264" t="e">
        <f>-AZ133/FAT!#REF!</f>
        <v>#REF!</v>
      </c>
      <c r="BA138" s="264" t="e">
        <f>-BA133/FAT!#REF!</f>
        <v>#REF!</v>
      </c>
      <c r="BB138" s="264" t="e">
        <f>-BB133/FAT!#REF!</f>
        <v>#REF!</v>
      </c>
      <c r="BC138" s="264" t="e">
        <f>-BC133/FAT!#REF!</f>
        <v>#REF!</v>
      </c>
      <c r="BD138" s="264" t="e">
        <f>-BD133/FAT!A3</f>
        <v>#VALUE!</v>
      </c>
      <c r="BE138" s="264">
        <f>-BE133/FAT!BE3</f>
        <v>91.332721010332961</v>
      </c>
      <c r="BF138" s="264">
        <f>-BF133/FAT!BF3</f>
        <v>275.16202310817562</v>
      </c>
      <c r="BG138" s="264">
        <f>-BG133/FAT!BG3</f>
        <v>192.79203395063149</v>
      </c>
      <c r="BH138" s="264">
        <f>-BH133/FAT!BH3</f>
        <v>54.544869994831537</v>
      </c>
      <c r="BI138" s="264">
        <f>-BI133/FAT!BI3</f>
        <v>47.099649912010975</v>
      </c>
      <c r="BJ138" s="264">
        <f>-BJ133/FAT!BJ3</f>
        <v>21.280228379090417</v>
      </c>
      <c r="BK138" s="264">
        <f>-BK133/FAT!BK3</f>
        <v>131.8571151291878</v>
      </c>
      <c r="BL138" s="264">
        <f>-BL133/FAT!BL3</f>
        <v>191.1947522039552</v>
      </c>
      <c r="BM138" s="264">
        <f>-BM133/FAT!BM3</f>
        <v>115.13998578044234</v>
      </c>
      <c r="BN138" s="264">
        <f>-BN133/FAT!BN3</f>
        <v>116.95940752659595</v>
      </c>
      <c r="BO138" s="264">
        <f>-BO133/FAT!BO3</f>
        <v>82.508676344950828</v>
      </c>
      <c r="BP138" s="264">
        <f>-BP133/FAT!BP3</f>
        <v>155.50422172839117</v>
      </c>
      <c r="BQ138" s="264">
        <f>-BQ133/FAT!BQ3</f>
        <v>127.65305970851428</v>
      </c>
      <c r="BR138" s="264">
        <f>-BR133/FAT!BR3</f>
        <v>91.176308974443771</v>
      </c>
      <c r="BS138" s="264">
        <f>-BS133/FAT!BS3</f>
        <v>40.023330023926235</v>
      </c>
      <c r="BT138" s="264">
        <f>-BT133/FAT!BT3</f>
        <v>40.950804308871078</v>
      </c>
      <c r="BU138" s="264">
        <f>-BU133/FAT!BU3</f>
        <v>106.34407831133156</v>
      </c>
      <c r="BV138" s="264">
        <f>-BV133/FAT!BV3</f>
        <v>106.99342731449214</v>
      </c>
      <c r="BW138" s="264">
        <f>-BW133/FAT!BW3</f>
        <v>117.42936342773477</v>
      </c>
      <c r="BX138" s="264">
        <f>-BX133/FAT!BX3</f>
        <v>132.45460221380347</v>
      </c>
      <c r="BY138" s="264">
        <f>-BY133/FAT!BY3</f>
        <v>93.973199571522741</v>
      </c>
      <c r="BZ138" s="264">
        <f>-BZ133/FAT!BZ3</f>
        <v>103.33468273972221</v>
      </c>
      <c r="CA138" s="303">
        <f>-CA133/FAT!CA3</f>
        <v>110.73602806216084</v>
      </c>
      <c r="CB138" s="303">
        <f>-CB133/FAT!CB3</f>
        <v>111.3137812520504</v>
      </c>
      <c r="CC138" s="303">
        <f>-CC133/FAT!CC3</f>
        <v>111.89454880640893</v>
      </c>
      <c r="CD138" s="303">
        <f>-CD133/FAT!CD3</f>
        <v>112.47834645235542</v>
      </c>
    </row>
    <row r="139" spans="1:82" ht="13.5" customHeight="1">
      <c r="AP139" s="313"/>
      <c r="AQ139" s="313"/>
      <c r="AR139" s="313"/>
      <c r="AS139" s="313"/>
      <c r="AU139" s="313"/>
      <c r="CA139" s="313"/>
      <c r="CB139" s="313"/>
      <c r="CC139" s="313"/>
      <c r="CD139" s="313"/>
    </row>
    <row r="140" spans="1:82" ht="13.5" customHeight="1">
      <c r="A140" s="321" t="s">
        <v>153</v>
      </c>
      <c r="B140" s="244">
        <f t="shared" ref="B140:I140" si="487">B$2</f>
        <v>42459</v>
      </c>
      <c r="C140" s="244">
        <f t="shared" si="487"/>
        <v>42551</v>
      </c>
      <c r="D140" s="244">
        <f t="shared" si="487"/>
        <v>42643</v>
      </c>
      <c r="E140" s="244">
        <f t="shared" si="487"/>
        <v>42735</v>
      </c>
      <c r="F140" s="244">
        <f t="shared" si="487"/>
        <v>42825</v>
      </c>
      <c r="G140" s="244">
        <f t="shared" si="487"/>
        <v>42916</v>
      </c>
      <c r="H140" s="244">
        <f t="shared" si="487"/>
        <v>43008</v>
      </c>
      <c r="I140" s="244">
        <f t="shared" si="487"/>
        <v>43100</v>
      </c>
      <c r="J140" s="244">
        <f t="shared" ref="J140:AS140" si="488">J$2</f>
        <v>43190</v>
      </c>
      <c r="K140" s="244">
        <f t="shared" si="488"/>
        <v>43281</v>
      </c>
      <c r="L140" s="244">
        <f t="shared" si="488"/>
        <v>43373</v>
      </c>
      <c r="M140" s="244">
        <f t="shared" si="488"/>
        <v>43465</v>
      </c>
      <c r="N140" s="244">
        <f t="shared" si="488"/>
        <v>43555</v>
      </c>
      <c r="O140" s="244">
        <f t="shared" si="488"/>
        <v>43646</v>
      </c>
      <c r="P140" s="244">
        <f t="shared" si="488"/>
        <v>43738</v>
      </c>
      <c r="Q140" s="244">
        <f t="shared" si="488"/>
        <v>43830</v>
      </c>
      <c r="R140" s="244">
        <f t="shared" si="488"/>
        <v>43921</v>
      </c>
      <c r="S140" s="244">
        <f t="shared" si="488"/>
        <v>44012</v>
      </c>
      <c r="T140" s="244">
        <f t="shared" si="488"/>
        <v>44104</v>
      </c>
      <c r="U140" s="244">
        <f t="shared" si="488"/>
        <v>44196</v>
      </c>
      <c r="V140" s="244">
        <f t="shared" si="488"/>
        <v>44286</v>
      </c>
      <c r="W140" s="244">
        <f t="shared" si="488"/>
        <v>44377</v>
      </c>
      <c r="X140" s="244">
        <f t="shared" si="488"/>
        <v>44469</v>
      </c>
      <c r="Y140" s="244">
        <f t="shared" si="488"/>
        <v>44561</v>
      </c>
      <c r="Z140" s="244">
        <f t="shared" si="488"/>
        <v>44651</v>
      </c>
      <c r="AA140" s="244">
        <f t="shared" si="488"/>
        <v>44742</v>
      </c>
      <c r="AB140" s="244">
        <f t="shared" si="488"/>
        <v>44834</v>
      </c>
      <c r="AC140" s="244">
        <f t="shared" si="488"/>
        <v>44926</v>
      </c>
      <c r="AD140" s="244">
        <f t="shared" si="488"/>
        <v>45016</v>
      </c>
      <c r="AE140" s="244">
        <f t="shared" si="488"/>
        <v>45107</v>
      </c>
      <c r="AF140" s="244">
        <f t="shared" si="488"/>
        <v>45199</v>
      </c>
      <c r="AG140" s="244">
        <f t="shared" si="488"/>
        <v>45291</v>
      </c>
      <c r="AH140" s="244">
        <f t="shared" si="488"/>
        <v>45382</v>
      </c>
      <c r="AI140" s="244">
        <f t="shared" si="488"/>
        <v>45473</v>
      </c>
      <c r="AJ140" s="244">
        <f t="shared" si="488"/>
        <v>45565</v>
      </c>
      <c r="AK140" s="244">
        <f t="shared" si="488"/>
        <v>45657</v>
      </c>
      <c r="AL140" s="244">
        <f t="shared" si="488"/>
        <v>45747</v>
      </c>
      <c r="AM140" s="244">
        <f t="shared" si="488"/>
        <v>45838</v>
      </c>
      <c r="AN140" s="244">
        <f t="shared" si="488"/>
        <v>45930</v>
      </c>
      <c r="AO140" s="244">
        <f t="shared" si="488"/>
        <v>46022</v>
      </c>
      <c r="AP140" s="244">
        <f t="shared" si="488"/>
        <v>46112</v>
      </c>
      <c r="AQ140" s="244">
        <f t="shared" si="488"/>
        <v>46203</v>
      </c>
      <c r="AR140" s="244">
        <f t="shared" si="488"/>
        <v>46295</v>
      </c>
      <c r="AS140" s="244">
        <f t="shared" si="488"/>
        <v>46387</v>
      </c>
      <c r="AU140" s="244">
        <v>46022</v>
      </c>
      <c r="AW140" s="244">
        <f t="shared" ref="AW140:CD140" si="489">AW$2</f>
        <v>35795</v>
      </c>
      <c r="AX140" s="244">
        <f t="shared" si="489"/>
        <v>36160</v>
      </c>
      <c r="AY140" s="244">
        <f t="shared" si="489"/>
        <v>36525</v>
      </c>
      <c r="AZ140" s="244">
        <f t="shared" si="489"/>
        <v>36891</v>
      </c>
      <c r="BA140" s="244">
        <f t="shared" si="489"/>
        <v>37256</v>
      </c>
      <c r="BB140" s="244">
        <f t="shared" si="489"/>
        <v>37621</v>
      </c>
      <c r="BC140" s="244">
        <f t="shared" si="489"/>
        <v>37986</v>
      </c>
      <c r="BD140" s="244">
        <f t="shared" si="489"/>
        <v>38352</v>
      </c>
      <c r="BE140" s="244">
        <f t="shared" si="489"/>
        <v>38717</v>
      </c>
      <c r="BF140" s="244">
        <f t="shared" si="489"/>
        <v>39082</v>
      </c>
      <c r="BG140" s="244">
        <f t="shared" si="489"/>
        <v>39447</v>
      </c>
      <c r="BH140" s="244">
        <f t="shared" si="489"/>
        <v>39813</v>
      </c>
      <c r="BI140" s="244">
        <f t="shared" si="489"/>
        <v>40178</v>
      </c>
      <c r="BJ140" s="244">
        <f t="shared" si="489"/>
        <v>40543</v>
      </c>
      <c r="BK140" s="244">
        <f t="shared" si="489"/>
        <v>40908</v>
      </c>
      <c r="BL140" s="244">
        <f t="shared" si="489"/>
        <v>41274</v>
      </c>
      <c r="BM140" s="244">
        <f t="shared" si="489"/>
        <v>41639</v>
      </c>
      <c r="BN140" s="244">
        <f t="shared" si="489"/>
        <v>42004</v>
      </c>
      <c r="BO140" s="244">
        <f t="shared" si="489"/>
        <v>42369</v>
      </c>
      <c r="BP140" s="244">
        <f t="shared" si="489"/>
        <v>42735</v>
      </c>
      <c r="BQ140" s="244">
        <f t="shared" si="489"/>
        <v>43100</v>
      </c>
      <c r="BR140" s="244">
        <f t="shared" si="489"/>
        <v>43465</v>
      </c>
      <c r="BS140" s="244">
        <f t="shared" si="489"/>
        <v>43830</v>
      </c>
      <c r="BT140" s="244">
        <f t="shared" si="489"/>
        <v>44196</v>
      </c>
      <c r="BU140" s="244">
        <f t="shared" si="489"/>
        <v>44561</v>
      </c>
      <c r="BV140" s="244">
        <f t="shared" si="489"/>
        <v>44926</v>
      </c>
      <c r="BW140" s="244">
        <f t="shared" si="489"/>
        <v>45291</v>
      </c>
      <c r="BX140" s="244">
        <f t="shared" si="489"/>
        <v>45657</v>
      </c>
      <c r="BY140" s="244">
        <f t="shared" si="489"/>
        <v>46022</v>
      </c>
      <c r="BZ140" s="244">
        <f t="shared" si="489"/>
        <v>46387</v>
      </c>
      <c r="CA140" s="244">
        <f t="shared" si="489"/>
        <v>46752</v>
      </c>
      <c r="CB140" s="244">
        <f t="shared" si="489"/>
        <v>47118</v>
      </c>
      <c r="CC140" s="244">
        <f t="shared" si="489"/>
        <v>47483</v>
      </c>
      <c r="CD140" s="244">
        <f t="shared" si="489"/>
        <v>47848</v>
      </c>
    </row>
    <row r="141" spans="1:82" ht="13.5" customHeight="1">
      <c r="A141" s="260" t="s">
        <v>154</v>
      </c>
      <c r="B141" s="273">
        <f t="shared" ref="B141:AJ141" si="490">B75</f>
        <v>0</v>
      </c>
      <c r="C141" s="273">
        <f t="shared" si="490"/>
        <v>2500</v>
      </c>
      <c r="D141" s="273">
        <f t="shared" si="490"/>
        <v>2530.5650000000001</v>
      </c>
      <c r="E141" s="273">
        <f t="shared" si="490"/>
        <v>2513.239</v>
      </c>
      <c r="F141" s="273">
        <f t="shared" si="490"/>
        <v>2606.192</v>
      </c>
      <c r="G141" s="273">
        <f t="shared" si="490"/>
        <v>175</v>
      </c>
      <c r="H141" s="273">
        <f t="shared" si="490"/>
        <v>1675</v>
      </c>
      <c r="I141" s="273">
        <f t="shared" si="490"/>
        <v>1675</v>
      </c>
      <c r="J141" s="273">
        <f t="shared" si="490"/>
        <v>1700</v>
      </c>
      <c r="K141" s="273">
        <f t="shared" si="490"/>
        <v>1730</v>
      </c>
      <c r="L141" s="273">
        <f t="shared" si="490"/>
        <v>630</v>
      </c>
      <c r="M141" s="273">
        <f t="shared" si="490"/>
        <v>635</v>
      </c>
      <c r="N141" s="273">
        <f t="shared" si="490"/>
        <v>635</v>
      </c>
      <c r="O141" s="273">
        <f t="shared" si="490"/>
        <v>843.33500000000004</v>
      </c>
      <c r="P141" s="273">
        <f t="shared" si="490"/>
        <v>442.589</v>
      </c>
      <c r="Q141" s="273">
        <f t="shared" si="490"/>
        <v>2735</v>
      </c>
      <c r="R141" s="273">
        <f t="shared" si="490"/>
        <v>7562.0820000000003</v>
      </c>
      <c r="S141" s="273">
        <f t="shared" si="490"/>
        <v>7399.38</v>
      </c>
      <c r="T141" s="273">
        <f t="shared" si="490"/>
        <v>7200.5259999999998</v>
      </c>
      <c r="U141" s="273">
        <f t="shared" si="490"/>
        <v>4236.165</v>
      </c>
      <c r="V141" s="273">
        <f t="shared" si="490"/>
        <v>235</v>
      </c>
      <c r="W141" s="273">
        <f t="shared" si="490"/>
        <v>3235</v>
      </c>
      <c r="X141" s="273">
        <f t="shared" si="490"/>
        <v>3284.2069999999999</v>
      </c>
      <c r="Y141" s="273">
        <f t="shared" si="490"/>
        <v>3257.893</v>
      </c>
      <c r="Z141" s="273">
        <f t="shared" si="490"/>
        <v>3242.2280000000001</v>
      </c>
      <c r="AA141" s="273">
        <f t="shared" si="490"/>
        <v>1753.365</v>
      </c>
      <c r="AB141" s="273">
        <f t="shared" si="490"/>
        <v>2015.424</v>
      </c>
      <c r="AC141" s="273">
        <f t="shared" si="490"/>
        <v>2048.5839999999998</v>
      </c>
      <c r="AD141" s="273">
        <f t="shared" si="490"/>
        <v>2159.3330000000001</v>
      </c>
      <c r="AE141" s="273">
        <f t="shared" si="490"/>
        <v>6364.2420000000002</v>
      </c>
      <c r="AF141" s="273">
        <f t="shared" si="490"/>
        <v>4634.7569999999996</v>
      </c>
      <c r="AG141" s="273">
        <f t="shared" si="490"/>
        <v>4527.4669999999996</v>
      </c>
      <c r="AH141" s="273">
        <f t="shared" si="490"/>
        <v>8642.7510000000002</v>
      </c>
      <c r="AI141" s="273">
        <f t="shared" si="490"/>
        <v>4638.3779999999997</v>
      </c>
      <c r="AJ141" s="273">
        <f t="shared" si="490"/>
        <v>4970.8670000000002</v>
      </c>
      <c r="AK141" s="273">
        <f t="shared" ref="AK141:AL141" si="491">AK75</f>
        <v>5220</v>
      </c>
      <c r="AL141" s="273">
        <f t="shared" si="491"/>
        <v>10.821</v>
      </c>
      <c r="AM141" s="273">
        <f t="shared" ref="AM141:AN141" si="492">AM75</f>
        <v>1501.9880000000001</v>
      </c>
      <c r="AN141" s="273">
        <f t="shared" si="492"/>
        <v>1506.5139999999999</v>
      </c>
      <c r="AO141" s="273">
        <f t="shared" ref="AO141" si="493">AO75</f>
        <v>1509.011</v>
      </c>
      <c r="AP141" s="314">
        <f t="shared" ref="AP141:AS141" si="494">AO141/AO143*AP143</f>
        <v>1509.011</v>
      </c>
      <c r="AQ141" s="314">
        <f t="shared" si="494"/>
        <v>1509.011</v>
      </c>
      <c r="AR141" s="314">
        <f t="shared" si="494"/>
        <v>1509.011</v>
      </c>
      <c r="AS141" s="314">
        <f t="shared" si="494"/>
        <v>1509.011</v>
      </c>
      <c r="AU141" s="314">
        <v>1506.5139999999999</v>
      </c>
      <c r="AW141" s="273">
        <f t="shared" ref="AW141:BY141" si="495">AW75</f>
        <v>139.88999999999999</v>
      </c>
      <c r="AX141" s="273">
        <f t="shared" si="495"/>
        <v>1629.7249999999999</v>
      </c>
      <c r="AY141" s="273">
        <f t="shared" si="495"/>
        <v>135.059</v>
      </c>
      <c r="AZ141" s="273">
        <f t="shared" si="495"/>
        <v>627.55499999999995</v>
      </c>
      <c r="BA141" s="273">
        <f t="shared" si="495"/>
        <v>876.79700000000003</v>
      </c>
      <c r="BB141" s="273">
        <f t="shared" si="495"/>
        <v>1606.06</v>
      </c>
      <c r="BC141" s="273">
        <f t="shared" si="495"/>
        <v>107.905</v>
      </c>
      <c r="BD141" s="273">
        <f t="shared" si="495"/>
        <v>660.49599999999998</v>
      </c>
      <c r="BE141" s="273">
        <f t="shared" si="495"/>
        <v>95.465000000000003</v>
      </c>
      <c r="BF141" s="273">
        <f t="shared" si="495"/>
        <v>96.99</v>
      </c>
      <c r="BG141" s="273">
        <f t="shared" si="495"/>
        <v>76.108000000000004</v>
      </c>
      <c r="BH141" s="273">
        <f t="shared" si="495"/>
        <v>3529.268</v>
      </c>
      <c r="BI141" s="273">
        <f t="shared" si="495"/>
        <v>73.677000000000007</v>
      </c>
      <c r="BJ141" s="273">
        <f t="shared" si="495"/>
        <v>46.686999999999998</v>
      </c>
      <c r="BK141" s="273">
        <f t="shared" si="495"/>
        <v>17.297000000000001</v>
      </c>
      <c r="BL141" s="273">
        <f t="shared" si="495"/>
        <v>0</v>
      </c>
      <c r="BM141" s="273">
        <f t="shared" si="495"/>
        <v>0</v>
      </c>
      <c r="BN141" s="273">
        <f t="shared" si="495"/>
        <v>0</v>
      </c>
      <c r="BO141" s="273">
        <f t="shared" si="495"/>
        <v>0</v>
      </c>
      <c r="BP141" s="273">
        <f t="shared" si="495"/>
        <v>2513.239</v>
      </c>
      <c r="BQ141" s="273">
        <f t="shared" si="495"/>
        <v>1675</v>
      </c>
      <c r="BR141" s="273">
        <f t="shared" si="495"/>
        <v>635</v>
      </c>
      <c r="BS141" s="273">
        <f t="shared" si="495"/>
        <v>2735</v>
      </c>
      <c r="BT141" s="273">
        <f t="shared" si="495"/>
        <v>4236.165</v>
      </c>
      <c r="BU141" s="273">
        <f t="shared" si="495"/>
        <v>3257.893</v>
      </c>
      <c r="BV141" s="273">
        <f t="shared" si="495"/>
        <v>2048.5839999999998</v>
      </c>
      <c r="BW141" s="273">
        <f t="shared" si="495"/>
        <v>4527.4669999999996</v>
      </c>
      <c r="BX141" s="273">
        <f t="shared" si="495"/>
        <v>5220</v>
      </c>
      <c r="BY141" s="273">
        <f t="shared" si="495"/>
        <v>1509.011</v>
      </c>
      <c r="BZ141" s="273">
        <f t="shared" ref="BZ141" si="496">BZ75</f>
        <v>1509.011</v>
      </c>
      <c r="CA141" s="314">
        <f>BZ141/BZ143*CA143</f>
        <v>1509.011</v>
      </c>
      <c r="CB141" s="314">
        <f>CA141/CA143*CB143</f>
        <v>1509.011</v>
      </c>
      <c r="CC141" s="314">
        <f>CB141/CB143*CC143</f>
        <v>1509.011</v>
      </c>
      <c r="CD141" s="314">
        <f>CC141/CC143*CD143</f>
        <v>1509.011</v>
      </c>
    </row>
    <row r="142" spans="1:82" ht="13.5" customHeight="1">
      <c r="A142" s="260" t="s">
        <v>155</v>
      </c>
      <c r="B142" s="273">
        <f t="shared" ref="B142:AJ142" si="497">B82</f>
        <v>20848.136999999999</v>
      </c>
      <c r="C142" s="273">
        <f t="shared" si="497"/>
        <v>19218.030999999999</v>
      </c>
      <c r="D142" s="273">
        <f t="shared" si="497"/>
        <v>19998.515200000002</v>
      </c>
      <c r="E142" s="273">
        <f t="shared" si="497"/>
        <v>20762.887200000005</v>
      </c>
      <c r="F142" s="273">
        <f t="shared" si="497"/>
        <v>19329.990200000004</v>
      </c>
      <c r="G142" s="273">
        <f t="shared" si="497"/>
        <v>21894.094000000001</v>
      </c>
      <c r="H142" s="273">
        <f t="shared" si="497"/>
        <v>20515.239000000001</v>
      </c>
      <c r="I142" s="273">
        <f t="shared" si="497"/>
        <v>21630.132000000001</v>
      </c>
      <c r="J142" s="273">
        <f t="shared" si="497"/>
        <v>20455.88</v>
      </c>
      <c r="K142" s="273">
        <f t="shared" si="497"/>
        <v>24469.012999999999</v>
      </c>
      <c r="L142" s="273">
        <f t="shared" si="497"/>
        <v>23404.005000000001</v>
      </c>
      <c r="M142" s="273">
        <f t="shared" si="497"/>
        <v>24005.566999999999</v>
      </c>
      <c r="N142" s="273">
        <f t="shared" si="497"/>
        <v>23822</v>
      </c>
      <c r="O142" s="273">
        <f t="shared" si="497"/>
        <v>23948.913</v>
      </c>
      <c r="P142" s="273">
        <f t="shared" si="497"/>
        <v>24579.411</v>
      </c>
      <c r="Q142" s="273">
        <f t="shared" si="497"/>
        <v>21440.494999999999</v>
      </c>
      <c r="R142" s="273">
        <f t="shared" si="497"/>
        <v>20174.788</v>
      </c>
      <c r="S142" s="273">
        <f t="shared" si="497"/>
        <v>20155.379000000001</v>
      </c>
      <c r="T142" s="273">
        <f t="shared" si="497"/>
        <v>30611.357</v>
      </c>
      <c r="U142" s="273">
        <f t="shared" si="497"/>
        <v>30255.447</v>
      </c>
      <c r="V142" s="273">
        <f t="shared" si="497"/>
        <v>29666.298999999999</v>
      </c>
      <c r="W142" s="273">
        <f t="shared" si="497"/>
        <v>26101.866000000002</v>
      </c>
      <c r="X142" s="273">
        <f t="shared" si="497"/>
        <v>25965.026999999998</v>
      </c>
      <c r="Y142" s="273">
        <f t="shared" si="497"/>
        <v>26103.329000000002</v>
      </c>
      <c r="Z142" s="273">
        <f t="shared" si="497"/>
        <v>25677.356</v>
      </c>
      <c r="AA142" s="273">
        <f t="shared" si="497"/>
        <v>24131.538</v>
      </c>
      <c r="AB142" s="273">
        <f t="shared" si="497"/>
        <v>32745.333999999999</v>
      </c>
      <c r="AC142" s="273">
        <f t="shared" si="497"/>
        <v>32468.6</v>
      </c>
      <c r="AD142" s="273">
        <f t="shared" si="497"/>
        <v>31898.242999999999</v>
      </c>
      <c r="AE142" s="273">
        <f t="shared" si="497"/>
        <v>27353.562999999998</v>
      </c>
      <c r="AF142" s="273">
        <f t="shared" si="497"/>
        <v>26879.005000000001</v>
      </c>
      <c r="AG142" s="273">
        <f t="shared" si="497"/>
        <v>27190.460999999999</v>
      </c>
      <c r="AH142" s="273">
        <f t="shared" si="497"/>
        <v>22872.937000000002</v>
      </c>
      <c r="AI142" s="273">
        <f t="shared" si="497"/>
        <v>22783.425999999999</v>
      </c>
      <c r="AJ142" s="273">
        <f t="shared" si="497"/>
        <v>22935.506000000001</v>
      </c>
      <c r="AK142" s="273">
        <f t="shared" ref="AK142:AL142" si="498">AK82</f>
        <v>23059.446</v>
      </c>
      <c r="AL142" s="273">
        <f t="shared" si="498"/>
        <v>23148.931</v>
      </c>
      <c r="AM142" s="273">
        <f t="shared" ref="AM142:AN142" si="499">AM82</f>
        <v>21781.922999999999</v>
      </c>
      <c r="AN142" s="273">
        <f t="shared" si="499"/>
        <v>21632.457999999999</v>
      </c>
      <c r="AO142" s="273">
        <f t="shared" ref="AO142" si="500">AO82</f>
        <v>21674.133999999998</v>
      </c>
      <c r="AP142" s="314">
        <f t="shared" ref="AP142:AS142" si="501">AP143-AP141</f>
        <v>21674.133999999998</v>
      </c>
      <c r="AQ142" s="314">
        <f t="shared" si="501"/>
        <v>21674.133999999998</v>
      </c>
      <c r="AR142" s="314">
        <f t="shared" si="501"/>
        <v>21674.133999999998</v>
      </c>
      <c r="AS142" s="314">
        <f t="shared" si="501"/>
        <v>21674.133999999998</v>
      </c>
      <c r="AU142" s="314">
        <v>21632.457999999999</v>
      </c>
      <c r="AW142" s="273">
        <f t="shared" ref="AW142:BY142" si="502">AW82</f>
        <v>1988.191</v>
      </c>
      <c r="AX142" s="273">
        <f t="shared" si="502"/>
        <v>1056.7449999999999</v>
      </c>
      <c r="AY142" s="273">
        <f t="shared" si="502"/>
        <v>3480.5140000000001</v>
      </c>
      <c r="AZ142" s="273">
        <f t="shared" si="502"/>
        <v>3393.1759999999999</v>
      </c>
      <c r="BA142" s="273">
        <f t="shared" si="502"/>
        <v>4262.1450000000004</v>
      </c>
      <c r="BB142" s="273">
        <f t="shared" si="502"/>
        <v>3619.2829999999999</v>
      </c>
      <c r="BC142" s="273">
        <f t="shared" si="502"/>
        <v>5954.5770000000002</v>
      </c>
      <c r="BD142" s="273">
        <f t="shared" si="502"/>
        <v>5262.3890000000001</v>
      </c>
      <c r="BE142" s="273">
        <f t="shared" si="502"/>
        <v>5020.4970000000003</v>
      </c>
      <c r="BF142" s="273">
        <f t="shared" si="502"/>
        <v>4971.7669999999998</v>
      </c>
      <c r="BG142" s="273">
        <f t="shared" si="502"/>
        <v>7414.9639999999999</v>
      </c>
      <c r="BH142" s="273">
        <f t="shared" si="502"/>
        <v>4646.4709999999995</v>
      </c>
      <c r="BI142" s="273">
        <f t="shared" si="502"/>
        <v>7315.4539999999997</v>
      </c>
      <c r="BJ142" s="273">
        <f t="shared" si="502"/>
        <v>11265.364</v>
      </c>
      <c r="BK142" s="273">
        <f t="shared" si="502"/>
        <v>11250</v>
      </c>
      <c r="BL142" s="273">
        <f t="shared" si="502"/>
        <v>9978.8340000000007</v>
      </c>
      <c r="BM142" s="273">
        <f t="shared" si="502"/>
        <v>10177.844999999999</v>
      </c>
      <c r="BN142" s="273">
        <f t="shared" si="502"/>
        <v>13086.816999999999</v>
      </c>
      <c r="BO142" s="273">
        <f t="shared" si="502"/>
        <v>17238.2</v>
      </c>
      <c r="BP142" s="273">
        <f t="shared" si="502"/>
        <v>20762.887200000005</v>
      </c>
      <c r="BQ142" s="273">
        <f t="shared" si="502"/>
        <v>21630.132000000001</v>
      </c>
      <c r="BR142" s="273">
        <f t="shared" si="502"/>
        <v>24005.566999999999</v>
      </c>
      <c r="BS142" s="273">
        <f t="shared" si="502"/>
        <v>21440.494999999999</v>
      </c>
      <c r="BT142" s="273">
        <f t="shared" si="502"/>
        <v>30255.447</v>
      </c>
      <c r="BU142" s="273">
        <f t="shared" si="502"/>
        <v>26103.329000000002</v>
      </c>
      <c r="BV142" s="273">
        <f t="shared" si="502"/>
        <v>32468.6</v>
      </c>
      <c r="BW142" s="273">
        <f t="shared" si="502"/>
        <v>27190.460999999999</v>
      </c>
      <c r="BX142" s="273">
        <f t="shared" si="502"/>
        <v>23059.446</v>
      </c>
      <c r="BY142" s="273">
        <f t="shared" si="502"/>
        <v>21674.133999999998</v>
      </c>
      <c r="BZ142" s="273">
        <f t="shared" ref="BZ142" si="503">BZ82</f>
        <v>21674.133999999998</v>
      </c>
      <c r="CA142" s="314">
        <f>CA143-CA141</f>
        <v>21674.133999999998</v>
      </c>
      <c r="CB142" s="314">
        <f>CB143-CB141</f>
        <v>21674.133999999998</v>
      </c>
      <c r="CC142" s="314">
        <f>CC143-CC141</f>
        <v>21674.133999999998</v>
      </c>
      <c r="CD142" s="314">
        <f>CD143-CD141</f>
        <v>21674.133999999998</v>
      </c>
    </row>
    <row r="143" spans="1:82" s="319" customFormat="1" ht="13.5" customHeight="1">
      <c r="A143" s="319" t="s">
        <v>156</v>
      </c>
      <c r="B143" s="578">
        <f>B142+B141</f>
        <v>20848.136999999999</v>
      </c>
      <c r="C143" s="578">
        <f>C142+C141</f>
        <v>21718.030999999999</v>
      </c>
      <c r="D143" s="578">
        <f>D142+D141</f>
        <v>22529.0802</v>
      </c>
      <c r="E143" s="578">
        <f>E142+E141</f>
        <v>23276.126200000006</v>
      </c>
      <c r="F143" s="578">
        <f t="shared" ref="F143:K143" si="504">F142+F141</f>
        <v>21936.182200000003</v>
      </c>
      <c r="G143" s="578">
        <f t="shared" si="504"/>
        <v>22069.094000000001</v>
      </c>
      <c r="H143" s="578">
        <f t="shared" si="504"/>
        <v>22190.239000000001</v>
      </c>
      <c r="I143" s="578">
        <f>I142+I141</f>
        <v>23305.132000000001</v>
      </c>
      <c r="J143" s="578">
        <f t="shared" si="504"/>
        <v>22155.88</v>
      </c>
      <c r="K143" s="578">
        <f t="shared" si="504"/>
        <v>26199.012999999999</v>
      </c>
      <c r="L143" s="578">
        <f t="shared" ref="L143:AH143" si="505">L142+L141</f>
        <v>24034.005000000001</v>
      </c>
      <c r="M143" s="578">
        <f t="shared" si="505"/>
        <v>24640.566999999999</v>
      </c>
      <c r="N143" s="578">
        <f t="shared" si="505"/>
        <v>24457</v>
      </c>
      <c r="O143" s="578">
        <f t="shared" si="505"/>
        <v>24792.248</v>
      </c>
      <c r="P143" s="578">
        <f t="shared" si="505"/>
        <v>25022</v>
      </c>
      <c r="Q143" s="578">
        <f t="shared" si="505"/>
        <v>24175.494999999999</v>
      </c>
      <c r="R143" s="578">
        <f t="shared" si="505"/>
        <v>27736.870000000003</v>
      </c>
      <c r="S143" s="578">
        <f t="shared" si="505"/>
        <v>27554.759000000002</v>
      </c>
      <c r="T143" s="578">
        <f t="shared" si="505"/>
        <v>37811.883000000002</v>
      </c>
      <c r="U143" s="578">
        <f t="shared" si="505"/>
        <v>34491.612000000001</v>
      </c>
      <c r="V143" s="578">
        <f t="shared" si="505"/>
        <v>29901.298999999999</v>
      </c>
      <c r="W143" s="578">
        <f t="shared" si="505"/>
        <v>29336.866000000002</v>
      </c>
      <c r="X143" s="578">
        <f t="shared" si="505"/>
        <v>29249.233999999997</v>
      </c>
      <c r="Y143" s="578">
        <f t="shared" si="505"/>
        <v>29361.222000000002</v>
      </c>
      <c r="Z143" s="578">
        <f t="shared" si="505"/>
        <v>28919.583999999999</v>
      </c>
      <c r="AA143" s="578">
        <f t="shared" si="505"/>
        <v>25884.903000000002</v>
      </c>
      <c r="AB143" s="578">
        <f t="shared" si="505"/>
        <v>34760.758000000002</v>
      </c>
      <c r="AC143" s="578">
        <f t="shared" si="505"/>
        <v>34517.184000000001</v>
      </c>
      <c r="AD143" s="578">
        <f t="shared" si="505"/>
        <v>34057.576000000001</v>
      </c>
      <c r="AE143" s="578">
        <f t="shared" si="505"/>
        <v>33717.805</v>
      </c>
      <c r="AF143" s="578">
        <f t="shared" si="505"/>
        <v>31513.762000000002</v>
      </c>
      <c r="AG143" s="578">
        <f t="shared" si="505"/>
        <v>31717.928</v>
      </c>
      <c r="AH143" s="578">
        <f t="shared" si="505"/>
        <v>31515.688000000002</v>
      </c>
      <c r="AI143" s="578">
        <f>AI142+AI141</f>
        <v>27421.804</v>
      </c>
      <c r="AJ143" s="578">
        <f>AJ142+AJ141</f>
        <v>27906.373</v>
      </c>
      <c r="AK143" s="578">
        <f>AK142+AK141</f>
        <v>28279.446</v>
      </c>
      <c r="AL143" s="578">
        <f>AL142+AL141</f>
        <v>23159.752</v>
      </c>
      <c r="AM143" s="578">
        <f t="shared" ref="AM143:AN143" si="506">AM142+AM141</f>
        <v>23283.911</v>
      </c>
      <c r="AN143" s="578">
        <f t="shared" si="506"/>
        <v>23138.971999999998</v>
      </c>
      <c r="AO143" s="578">
        <f t="shared" ref="AO143" si="507">AO142+AO141</f>
        <v>23183.144999999997</v>
      </c>
      <c r="AP143" s="315">
        <f t="shared" ref="AP143:AS143" si="508">+AO143</f>
        <v>23183.144999999997</v>
      </c>
      <c r="AQ143" s="315">
        <f t="shared" si="508"/>
        <v>23183.144999999997</v>
      </c>
      <c r="AR143" s="315">
        <f t="shared" si="508"/>
        <v>23183.144999999997</v>
      </c>
      <c r="AS143" s="315">
        <f t="shared" si="508"/>
        <v>23183.144999999997</v>
      </c>
      <c r="AU143" s="315">
        <v>23138.971999999998</v>
      </c>
      <c r="AW143" s="578">
        <f t="shared" ref="AW143:BO143" si="509">AW142+AW141</f>
        <v>2128.0810000000001</v>
      </c>
      <c r="AX143" s="578">
        <f t="shared" si="509"/>
        <v>2686.47</v>
      </c>
      <c r="AY143" s="578">
        <f t="shared" si="509"/>
        <v>3615.5730000000003</v>
      </c>
      <c r="AZ143" s="578">
        <f t="shared" si="509"/>
        <v>4020.7309999999998</v>
      </c>
      <c r="BA143" s="578">
        <f t="shared" si="509"/>
        <v>5138.9420000000009</v>
      </c>
      <c r="BB143" s="578">
        <f t="shared" si="509"/>
        <v>5225.3429999999998</v>
      </c>
      <c r="BC143" s="578">
        <f t="shared" si="509"/>
        <v>6062.482</v>
      </c>
      <c r="BD143" s="578">
        <f t="shared" si="509"/>
        <v>5922.8850000000002</v>
      </c>
      <c r="BE143" s="578">
        <f t="shared" si="509"/>
        <v>5115.9620000000004</v>
      </c>
      <c r="BF143" s="578">
        <f t="shared" si="509"/>
        <v>5068.7569999999996</v>
      </c>
      <c r="BG143" s="578">
        <f t="shared" si="509"/>
        <v>7491.0720000000001</v>
      </c>
      <c r="BH143" s="578">
        <f t="shared" si="509"/>
        <v>8175.7389999999996</v>
      </c>
      <c r="BI143" s="578">
        <f t="shared" si="509"/>
        <v>7389.1309999999994</v>
      </c>
      <c r="BJ143" s="578">
        <f t="shared" si="509"/>
        <v>11312.050999999999</v>
      </c>
      <c r="BK143" s="578">
        <f t="shared" si="509"/>
        <v>11267.297</v>
      </c>
      <c r="BL143" s="578">
        <f t="shared" si="509"/>
        <v>9978.8340000000007</v>
      </c>
      <c r="BM143" s="578">
        <f t="shared" si="509"/>
        <v>10177.844999999999</v>
      </c>
      <c r="BN143" s="578">
        <f t="shared" si="509"/>
        <v>13086.816999999999</v>
      </c>
      <c r="BO143" s="578">
        <f t="shared" si="509"/>
        <v>17238.2</v>
      </c>
      <c r="BP143" s="578">
        <f t="shared" ref="BP143:BU143" si="510">BP142+BP141</f>
        <v>23276.126200000006</v>
      </c>
      <c r="BQ143" s="578">
        <f t="shared" si="510"/>
        <v>23305.132000000001</v>
      </c>
      <c r="BR143" s="578">
        <f t="shared" si="510"/>
        <v>24640.566999999999</v>
      </c>
      <c r="BS143" s="578">
        <f t="shared" si="510"/>
        <v>24175.494999999999</v>
      </c>
      <c r="BT143" s="578">
        <f t="shared" si="510"/>
        <v>34491.612000000001</v>
      </c>
      <c r="BU143" s="578">
        <f t="shared" si="510"/>
        <v>29361.222000000002</v>
      </c>
      <c r="BV143" s="578">
        <f>BV142+BV141</f>
        <v>34517.184000000001</v>
      </c>
      <c r="BW143" s="578">
        <f>BW142+BW141</f>
        <v>31717.928</v>
      </c>
      <c r="BX143" s="578">
        <f>BX142+BX141</f>
        <v>28279.446</v>
      </c>
      <c r="BY143" s="578">
        <f>BY142+BY141</f>
        <v>23183.144999999997</v>
      </c>
      <c r="BZ143" s="578">
        <f>BZ142+BZ141</f>
        <v>23183.144999999997</v>
      </c>
      <c r="CA143" s="315">
        <f>+BZ143</f>
        <v>23183.144999999997</v>
      </c>
      <c r="CB143" s="315">
        <f>+CA143</f>
        <v>23183.144999999997</v>
      </c>
      <c r="CC143" s="315">
        <f>+CB143</f>
        <v>23183.144999999997</v>
      </c>
      <c r="CD143" s="315">
        <f>+CC143</f>
        <v>23183.144999999997</v>
      </c>
    </row>
    <row r="144" spans="1:82" ht="13.5" customHeight="1">
      <c r="A144" s="260" t="s">
        <v>157</v>
      </c>
      <c r="B144" s="273">
        <f t="shared" ref="B144:AJ144" si="511">B56</f>
        <v>11088.367</v>
      </c>
      <c r="C144" s="273">
        <f t="shared" si="511"/>
        <v>9588.6299999999992</v>
      </c>
      <c r="D144" s="273">
        <f t="shared" si="511"/>
        <v>8938.9220000000005</v>
      </c>
      <c r="E144" s="273">
        <f t="shared" si="511"/>
        <v>7461.4920000000002</v>
      </c>
      <c r="F144" s="273">
        <f t="shared" si="511"/>
        <v>7275.9260000000004</v>
      </c>
      <c r="G144" s="273">
        <f t="shared" si="511"/>
        <v>6261.1409999999996</v>
      </c>
      <c r="H144" s="273">
        <f t="shared" si="511"/>
        <v>6013.1139999999996</v>
      </c>
      <c r="I144" s="273">
        <f t="shared" si="511"/>
        <v>4674.3389999999999</v>
      </c>
      <c r="J144" s="273">
        <f t="shared" si="511"/>
        <v>5426</v>
      </c>
      <c r="K144" s="273">
        <f t="shared" si="511"/>
        <v>7509.7690000000002</v>
      </c>
      <c r="L144" s="273">
        <f t="shared" si="511"/>
        <v>5994.8729999999996</v>
      </c>
      <c r="M144" s="273">
        <f t="shared" si="511"/>
        <v>4999.5020000000004</v>
      </c>
      <c r="N144" s="273">
        <f t="shared" si="511"/>
        <v>6534</v>
      </c>
      <c r="O144" s="273">
        <f t="shared" si="511"/>
        <v>6703</v>
      </c>
      <c r="P144" s="273">
        <f t="shared" si="511"/>
        <v>7074.7190000000001</v>
      </c>
      <c r="Q144" s="273">
        <f t="shared" si="511"/>
        <v>6838.5559999999996</v>
      </c>
      <c r="R144" s="273">
        <f t="shared" si="511"/>
        <v>9723.223</v>
      </c>
      <c r="S144" s="273">
        <f t="shared" si="511"/>
        <v>10328.019</v>
      </c>
      <c r="T144" s="273">
        <f t="shared" si="511"/>
        <v>22033.999</v>
      </c>
      <c r="U144" s="273">
        <f t="shared" si="511"/>
        <v>18583.898000000001</v>
      </c>
      <c r="V144" s="273">
        <f t="shared" si="511"/>
        <v>15739.026</v>
      </c>
      <c r="W144" s="273">
        <f t="shared" si="511"/>
        <v>14264.677</v>
      </c>
      <c r="X144" s="273">
        <f t="shared" si="511"/>
        <v>14288.94</v>
      </c>
      <c r="Y144" s="273">
        <f t="shared" si="511"/>
        <v>12274.692999999999</v>
      </c>
      <c r="Z144" s="273">
        <f t="shared" si="511"/>
        <v>12397.933000000001</v>
      </c>
      <c r="AA144" s="273">
        <f t="shared" si="511"/>
        <v>9667.9330000000009</v>
      </c>
      <c r="AB144" s="273">
        <f t="shared" si="511"/>
        <v>18113.649000000001</v>
      </c>
      <c r="AC144" s="273">
        <f t="shared" si="511"/>
        <v>16919.157999999999</v>
      </c>
      <c r="AD144" s="273">
        <f t="shared" si="511"/>
        <v>17919.129000000001</v>
      </c>
      <c r="AE144" s="273">
        <f t="shared" si="511"/>
        <v>19112.823</v>
      </c>
      <c r="AF144" s="273">
        <f t="shared" si="511"/>
        <v>18496.524000000001</v>
      </c>
      <c r="AG144" s="273">
        <f t="shared" si="511"/>
        <v>18972.075000000001</v>
      </c>
      <c r="AH144" s="273">
        <f t="shared" si="511"/>
        <v>20193.011999999999</v>
      </c>
      <c r="AI144" s="273">
        <f t="shared" si="511"/>
        <v>16874.934000000001</v>
      </c>
      <c r="AJ144" s="273">
        <f t="shared" si="511"/>
        <v>16739.429</v>
      </c>
      <c r="AK144" s="273">
        <f t="shared" ref="AK144:AL144" si="512">AK56</f>
        <v>15582.477000000001</v>
      </c>
      <c r="AL144" s="273">
        <f t="shared" si="512"/>
        <v>11782.71</v>
      </c>
      <c r="AM144" s="273">
        <f t="shared" ref="AM144:AN144" si="513">AM56</f>
        <v>10953.823</v>
      </c>
      <c r="AN144" s="273">
        <f t="shared" si="513"/>
        <v>10749.482</v>
      </c>
      <c r="AO144" s="273">
        <f t="shared" ref="AO144" si="514">AO56</f>
        <v>9660.2790000000005</v>
      </c>
      <c r="AP144" s="310">
        <f t="shared" ref="AP144:AS144" si="515">AP56</f>
        <v>18067.045320775505</v>
      </c>
      <c r="AQ144" s="310">
        <f t="shared" si="515"/>
        <v>15879.132535160123</v>
      </c>
      <c r="AR144" s="310">
        <f t="shared" si="515"/>
        <v>14448.255863547378</v>
      </c>
      <c r="AS144" s="310">
        <f t="shared" si="515"/>
        <v>9013.8134293041549</v>
      </c>
      <c r="AU144" s="310">
        <v>6303.0442995647572</v>
      </c>
      <c r="AW144" s="273">
        <f t="shared" ref="AW144:CD144" si="516">AW56</f>
        <v>2078.058</v>
      </c>
      <c r="AX144" s="273">
        <f t="shared" si="516"/>
        <v>1829.076</v>
      </c>
      <c r="AY144" s="273">
        <f t="shared" si="516"/>
        <v>2571.183</v>
      </c>
      <c r="AZ144" s="273">
        <f t="shared" si="516"/>
        <v>2018.306</v>
      </c>
      <c r="BA144" s="273">
        <f t="shared" si="516"/>
        <v>2205.614</v>
      </c>
      <c r="BB144" s="273">
        <f t="shared" si="516"/>
        <v>1699.29</v>
      </c>
      <c r="BC144" s="273">
        <f t="shared" si="516"/>
        <v>1709.5170000000001</v>
      </c>
      <c r="BD144" s="273">
        <f t="shared" si="516"/>
        <v>2132.7809999999999</v>
      </c>
      <c r="BE144" s="273">
        <f t="shared" si="516"/>
        <v>1803.0609999999999</v>
      </c>
      <c r="BF144" s="273">
        <f t="shared" si="516"/>
        <v>1776.69</v>
      </c>
      <c r="BG144" s="273">
        <f t="shared" si="516"/>
        <v>2914.9679999999998</v>
      </c>
      <c r="BH144" s="273">
        <f t="shared" si="516"/>
        <v>3017.607</v>
      </c>
      <c r="BI144" s="273">
        <f t="shared" si="516"/>
        <v>6460.4949999999999</v>
      </c>
      <c r="BJ144" s="273">
        <f t="shared" si="516"/>
        <v>6306.9719999999998</v>
      </c>
      <c r="BK144" s="273">
        <f t="shared" si="516"/>
        <v>4027.5639999999999</v>
      </c>
      <c r="BL144" s="273">
        <f t="shared" si="516"/>
        <v>3464.93</v>
      </c>
      <c r="BM144" s="273">
        <f t="shared" si="516"/>
        <v>5390.25</v>
      </c>
      <c r="BN144" s="273">
        <f t="shared" si="516"/>
        <v>5049.5469999999996</v>
      </c>
      <c r="BO144" s="273">
        <f t="shared" si="516"/>
        <v>7933.6989999999996</v>
      </c>
      <c r="BP144" s="273">
        <f t="shared" si="516"/>
        <v>7461.4920000000002</v>
      </c>
      <c r="BQ144" s="273">
        <f t="shared" si="516"/>
        <v>4674.3389999999999</v>
      </c>
      <c r="BR144" s="273">
        <f t="shared" si="516"/>
        <v>4999.5020000000004</v>
      </c>
      <c r="BS144" s="273">
        <f t="shared" si="516"/>
        <v>6838.5559999999996</v>
      </c>
      <c r="BT144" s="273">
        <f t="shared" si="516"/>
        <v>18583.898000000001</v>
      </c>
      <c r="BU144" s="273">
        <f t="shared" si="516"/>
        <v>12274.692999999999</v>
      </c>
      <c r="BV144" s="273">
        <f t="shared" si="516"/>
        <v>16919.157999999999</v>
      </c>
      <c r="BW144" s="273">
        <f t="shared" si="516"/>
        <v>18972.075000000001</v>
      </c>
      <c r="BX144" s="273">
        <f t="shared" si="516"/>
        <v>15582.477000000001</v>
      </c>
      <c r="BY144" s="273">
        <f t="shared" si="516"/>
        <v>9660.2790000000005</v>
      </c>
      <c r="BZ144" s="273">
        <f t="shared" ref="BZ144" si="517">BZ56</f>
        <v>9013.8134293041549</v>
      </c>
      <c r="CA144" s="310">
        <f t="shared" si="516"/>
        <v>10699.615777385048</v>
      </c>
      <c r="CB144" s="310">
        <f t="shared" si="516"/>
        <v>12345.062531363423</v>
      </c>
      <c r="CC144" s="310">
        <f t="shared" si="516"/>
        <v>13961.973144359585</v>
      </c>
      <c r="CD144" s="310">
        <f t="shared" si="516"/>
        <v>15613.593128702143</v>
      </c>
    </row>
    <row r="145" spans="1:82" s="319" customFormat="1" ht="13.5" customHeight="1">
      <c r="A145" s="319" t="s">
        <v>15</v>
      </c>
      <c r="B145" s="578">
        <f>B143-B144</f>
        <v>9759.7699999999986</v>
      </c>
      <c r="C145" s="578">
        <f>C143-C144</f>
        <v>12129.401</v>
      </c>
      <c r="D145" s="578">
        <f>D143-D144</f>
        <v>13590.1582</v>
      </c>
      <c r="E145" s="578">
        <f>E143-E144</f>
        <v>15814.634200000006</v>
      </c>
      <c r="F145" s="578">
        <f t="shared" ref="F145:K145" si="518">F143-F144</f>
        <v>14660.256200000003</v>
      </c>
      <c r="G145" s="578">
        <f t="shared" si="518"/>
        <v>15807.953000000001</v>
      </c>
      <c r="H145" s="578">
        <f t="shared" si="518"/>
        <v>16177.125000000002</v>
      </c>
      <c r="I145" s="578">
        <f>I143-I144</f>
        <v>18630.793000000001</v>
      </c>
      <c r="J145" s="578">
        <f t="shared" si="518"/>
        <v>16729.88</v>
      </c>
      <c r="K145" s="578">
        <f t="shared" si="518"/>
        <v>18689.243999999999</v>
      </c>
      <c r="L145" s="578">
        <f t="shared" ref="L145:AH145" si="519">L143-L144</f>
        <v>18039.132000000001</v>
      </c>
      <c r="M145" s="578">
        <f t="shared" si="519"/>
        <v>19641.064999999999</v>
      </c>
      <c r="N145" s="578">
        <f t="shared" si="519"/>
        <v>17923</v>
      </c>
      <c r="O145" s="578">
        <f t="shared" si="519"/>
        <v>18089.248</v>
      </c>
      <c r="P145" s="578">
        <f t="shared" si="519"/>
        <v>17947.280999999999</v>
      </c>
      <c r="Q145" s="578">
        <f t="shared" si="519"/>
        <v>17336.938999999998</v>
      </c>
      <c r="R145" s="578">
        <f t="shared" si="519"/>
        <v>18013.647000000004</v>
      </c>
      <c r="S145" s="578">
        <f t="shared" si="519"/>
        <v>17226.740000000002</v>
      </c>
      <c r="T145" s="578">
        <f t="shared" si="519"/>
        <v>15777.884000000002</v>
      </c>
      <c r="U145" s="578">
        <f t="shared" si="519"/>
        <v>15907.714</v>
      </c>
      <c r="V145" s="578">
        <f t="shared" si="519"/>
        <v>14162.272999999999</v>
      </c>
      <c r="W145" s="578">
        <f t="shared" si="519"/>
        <v>15072.189000000002</v>
      </c>
      <c r="X145" s="578">
        <f t="shared" si="519"/>
        <v>14960.293999999996</v>
      </c>
      <c r="Y145" s="578">
        <f t="shared" si="519"/>
        <v>17086.529000000002</v>
      </c>
      <c r="Z145" s="578">
        <f t="shared" si="519"/>
        <v>16521.650999999998</v>
      </c>
      <c r="AA145" s="578">
        <f t="shared" si="519"/>
        <v>16216.970000000001</v>
      </c>
      <c r="AB145" s="578">
        <f t="shared" si="519"/>
        <v>16647.109</v>
      </c>
      <c r="AC145" s="578">
        <f t="shared" si="519"/>
        <v>17598.026000000002</v>
      </c>
      <c r="AD145" s="578">
        <f t="shared" si="519"/>
        <v>16138.447</v>
      </c>
      <c r="AE145" s="578">
        <f t="shared" si="519"/>
        <v>14604.982</v>
      </c>
      <c r="AF145" s="578">
        <f t="shared" si="519"/>
        <v>13017.238000000001</v>
      </c>
      <c r="AG145" s="578">
        <f t="shared" si="519"/>
        <v>12745.852999999999</v>
      </c>
      <c r="AH145" s="578">
        <f t="shared" si="519"/>
        <v>11322.676000000003</v>
      </c>
      <c r="AI145" s="578">
        <f t="shared" ref="AI145:AK145" si="520">AI143-AI144</f>
        <v>10546.869999999999</v>
      </c>
      <c r="AJ145" s="578">
        <f t="shared" si="520"/>
        <v>11166.944</v>
      </c>
      <c r="AK145" s="578">
        <f t="shared" si="520"/>
        <v>12696.968999999999</v>
      </c>
      <c r="AL145" s="578">
        <f t="shared" ref="AL145:AN145" si="521">AL143-AL144</f>
        <v>11377.042000000001</v>
      </c>
      <c r="AM145" s="578">
        <f t="shared" si="521"/>
        <v>12330.088</v>
      </c>
      <c r="AN145" s="578">
        <f t="shared" si="521"/>
        <v>12389.489999999998</v>
      </c>
      <c r="AO145" s="578">
        <f t="shared" ref="AO145" si="522">AO143-AO144</f>
        <v>13522.865999999996</v>
      </c>
      <c r="AP145" s="579">
        <f t="shared" ref="AP145:AS145" si="523">AP143-AP144</f>
        <v>5116.0996792244914</v>
      </c>
      <c r="AQ145" s="579">
        <f t="shared" si="523"/>
        <v>7304.0124648398742</v>
      </c>
      <c r="AR145" s="579">
        <f t="shared" si="523"/>
        <v>8734.8891364526189</v>
      </c>
      <c r="AS145" s="579">
        <f t="shared" si="523"/>
        <v>14169.331570695842</v>
      </c>
      <c r="AU145" s="579">
        <v>16835.927700435241</v>
      </c>
      <c r="AW145" s="578">
        <f t="shared" ref="AW145:BO145" si="524">AW143-AW144</f>
        <v>50.023000000000138</v>
      </c>
      <c r="AX145" s="578">
        <f t="shared" si="524"/>
        <v>857.39399999999978</v>
      </c>
      <c r="AY145" s="578">
        <f t="shared" si="524"/>
        <v>1044.3900000000003</v>
      </c>
      <c r="AZ145" s="578">
        <f t="shared" si="524"/>
        <v>2002.4249999999997</v>
      </c>
      <c r="BA145" s="578">
        <f t="shared" si="524"/>
        <v>2933.3280000000009</v>
      </c>
      <c r="BB145" s="578">
        <f t="shared" si="524"/>
        <v>3526.0529999999999</v>
      </c>
      <c r="BC145" s="578">
        <f t="shared" si="524"/>
        <v>4352.9650000000001</v>
      </c>
      <c r="BD145" s="578">
        <f t="shared" si="524"/>
        <v>3790.1040000000003</v>
      </c>
      <c r="BE145" s="578">
        <f t="shared" si="524"/>
        <v>3312.9010000000007</v>
      </c>
      <c r="BF145" s="578">
        <f t="shared" si="524"/>
        <v>3292.0669999999996</v>
      </c>
      <c r="BG145" s="578">
        <f t="shared" si="524"/>
        <v>4576.1040000000003</v>
      </c>
      <c r="BH145" s="578">
        <f t="shared" si="524"/>
        <v>5158.1319999999996</v>
      </c>
      <c r="BI145" s="578">
        <f t="shared" si="524"/>
        <v>928.63599999999951</v>
      </c>
      <c r="BJ145" s="578">
        <f t="shared" si="524"/>
        <v>5005.0789999999997</v>
      </c>
      <c r="BK145" s="578">
        <f t="shared" si="524"/>
        <v>7239.7330000000002</v>
      </c>
      <c r="BL145" s="578">
        <f t="shared" si="524"/>
        <v>6513.9040000000005</v>
      </c>
      <c r="BM145" s="578">
        <f t="shared" si="524"/>
        <v>4787.5949999999993</v>
      </c>
      <c r="BN145" s="578">
        <f t="shared" si="524"/>
        <v>8037.2699999999995</v>
      </c>
      <c r="BO145" s="578">
        <f t="shared" si="524"/>
        <v>9304.5010000000002</v>
      </c>
      <c r="BP145" s="578">
        <f t="shared" ref="BP145:BU145" si="525">BP143-BP144</f>
        <v>15814.634200000006</v>
      </c>
      <c r="BQ145" s="578">
        <f t="shared" si="525"/>
        <v>18630.793000000001</v>
      </c>
      <c r="BR145" s="578">
        <f t="shared" si="525"/>
        <v>19641.064999999999</v>
      </c>
      <c r="BS145" s="578">
        <f t="shared" si="525"/>
        <v>17336.938999999998</v>
      </c>
      <c r="BT145" s="578">
        <f t="shared" si="525"/>
        <v>15907.714</v>
      </c>
      <c r="BU145" s="578">
        <f t="shared" si="525"/>
        <v>17086.529000000002</v>
      </c>
      <c r="BV145" s="578">
        <f t="shared" ref="BV145:CD145" si="526">BV143-BV144</f>
        <v>17598.026000000002</v>
      </c>
      <c r="BW145" s="578">
        <f t="shared" si="526"/>
        <v>12745.852999999999</v>
      </c>
      <c r="BX145" s="578">
        <f>BX143-BX144</f>
        <v>12696.968999999999</v>
      </c>
      <c r="BY145" s="578">
        <f>BY143-BY144</f>
        <v>13522.865999999996</v>
      </c>
      <c r="BZ145" s="578">
        <f>BZ143-BZ144</f>
        <v>14169.331570695842</v>
      </c>
      <c r="CA145" s="579">
        <f t="shared" si="526"/>
        <v>12483.529222614949</v>
      </c>
      <c r="CB145" s="579">
        <f t="shared" si="526"/>
        <v>10838.082468636574</v>
      </c>
      <c r="CC145" s="579">
        <f t="shared" si="526"/>
        <v>9221.1718556404121</v>
      </c>
      <c r="CD145" s="579">
        <f t="shared" si="526"/>
        <v>7569.5518712978537</v>
      </c>
    </row>
    <row r="146" spans="1:82" s="319" customFormat="1" ht="13.5" customHeight="1">
      <c r="A146" s="319" t="s">
        <v>81</v>
      </c>
      <c r="B146" s="580">
        <f t="shared" ref="B146:AJ146" si="527">B145/B16/4</f>
        <v>0.99237702267675654</v>
      </c>
      <c r="C146" s="580">
        <f t="shared" si="527"/>
        <v>1.2848130562943276</v>
      </c>
      <c r="D146" s="580">
        <f t="shared" si="527"/>
        <v>1.3820962749532084</v>
      </c>
      <c r="E146" s="580">
        <f t="shared" si="527"/>
        <v>1.6879789424159062</v>
      </c>
      <c r="F146" s="580">
        <f t="shared" si="527"/>
        <v>1.6186801031697318</v>
      </c>
      <c r="G146" s="580">
        <f t="shared" si="527"/>
        <v>1.7865751722273531</v>
      </c>
      <c r="H146" s="580">
        <f t="shared" si="527"/>
        <v>2.0913983262737172</v>
      </c>
      <c r="I146" s="580">
        <f t="shared" si="527"/>
        <v>2.1451729790175786</v>
      </c>
      <c r="J146" s="580">
        <f t="shared" si="527"/>
        <v>1.7165301914483557</v>
      </c>
      <c r="K146" s="580">
        <f t="shared" si="527"/>
        <v>1.920251177781148</v>
      </c>
      <c r="L146" s="580">
        <f t="shared" si="527"/>
        <v>2.1934283475588794</v>
      </c>
      <c r="M146" s="580">
        <f t="shared" si="527"/>
        <v>2.2945812733067279</v>
      </c>
      <c r="N146" s="580">
        <f t="shared" si="527"/>
        <v>1.7516025653555043</v>
      </c>
      <c r="O146" s="580">
        <f t="shared" si="527"/>
        <v>1.6143561405199707</v>
      </c>
      <c r="P146" s="580">
        <f t="shared" si="527"/>
        <v>1.7005244851983636</v>
      </c>
      <c r="Q146" s="580">
        <f t="shared" si="527"/>
        <v>1.4717955374479348</v>
      </c>
      <c r="R146" s="580">
        <f t="shared" si="527"/>
        <v>1.4010185932981254</v>
      </c>
      <c r="S146" s="580">
        <f t="shared" si="527"/>
        <v>1.2926385050759357</v>
      </c>
      <c r="T146" s="580">
        <f t="shared" si="527"/>
        <v>1.3864090493863306</v>
      </c>
      <c r="U146" s="580">
        <f t="shared" si="527"/>
        <v>1.2831115352736187</v>
      </c>
      <c r="V146" s="580">
        <f t="shared" si="527"/>
        <v>1.0919412710068581</v>
      </c>
      <c r="W146" s="580">
        <f t="shared" si="527"/>
        <v>1.3860483367260685</v>
      </c>
      <c r="X146" s="580">
        <f t="shared" si="527"/>
        <v>1.6735921741861983</v>
      </c>
      <c r="Y146" s="580">
        <f t="shared" si="527"/>
        <v>2.0445915610259267</v>
      </c>
      <c r="Z146" s="580">
        <f t="shared" si="527"/>
        <v>1.6428429519534349</v>
      </c>
      <c r="AA146" s="580">
        <f t="shared" si="527"/>
        <v>1.5149692353338156</v>
      </c>
      <c r="AB146" s="580">
        <f t="shared" si="527"/>
        <v>1.5100886907098816</v>
      </c>
      <c r="AC146" s="580">
        <f t="shared" si="527"/>
        <v>1.4850704981282634</v>
      </c>
      <c r="AD146" s="580">
        <f t="shared" si="527"/>
        <v>1.2356540086972689</v>
      </c>
      <c r="AE146" s="580">
        <f t="shared" si="527"/>
        <v>1.0395812969947555</v>
      </c>
      <c r="AF146" s="580">
        <f t="shared" si="527"/>
        <v>0.94888395733868924</v>
      </c>
      <c r="AG146" s="580">
        <f t="shared" si="527"/>
        <v>0.85893336039685231</v>
      </c>
      <c r="AH146" s="580">
        <f t="shared" si="527"/>
        <v>0.72688089263502187</v>
      </c>
      <c r="AI146" s="580">
        <f t="shared" si="527"/>
        <v>0.65368985105331689</v>
      </c>
      <c r="AJ146" s="580">
        <f t="shared" si="527"/>
        <v>0.80576695068115811</v>
      </c>
      <c r="AK146" s="580">
        <f t="shared" ref="AK146:AL146" si="528">AK145/AK16/4</f>
        <v>0.90628677761693877</v>
      </c>
      <c r="AL146" s="580">
        <f t="shared" si="528"/>
        <v>0.81953722862158918</v>
      </c>
      <c r="AM146" s="580">
        <f t="shared" ref="AM146:AN146" si="529">AM145/AM16/4</f>
        <v>0.86372033425528216</v>
      </c>
      <c r="AN146" s="580">
        <f t="shared" si="529"/>
        <v>0.92321087928464962</v>
      </c>
      <c r="AO146" s="580">
        <f t="shared" ref="AO146" si="530">AO145/AO16/4</f>
        <v>0.91044457173604088</v>
      </c>
      <c r="AP146" s="581">
        <f t="shared" ref="AP146:AS146" si="531">AP145/AP16/4</f>
        <v>0.34667387513806169</v>
      </c>
      <c r="AQ146" s="581">
        <f t="shared" si="531"/>
        <v>0.47103696149272323</v>
      </c>
      <c r="AR146" s="581">
        <f t="shared" si="531"/>
        <v>0.63127847940284598</v>
      </c>
      <c r="AS146" s="581">
        <f t="shared" si="531"/>
        <v>0.91355950448128176</v>
      </c>
      <c r="AU146" s="581">
        <v>1.1460194406348054</v>
      </c>
      <c r="AW146" s="580">
        <f t="shared" ref="AW146:CD146" si="532">AW145/AW16</f>
        <v>1.4071559236108158E-2</v>
      </c>
      <c r="AX146" s="580">
        <f t="shared" si="532"/>
        <v>0.19053288915348265</v>
      </c>
      <c r="AY146" s="580">
        <f t="shared" si="532"/>
        <v>0.19369545308367087</v>
      </c>
      <c r="AZ146" s="580">
        <f t="shared" si="532"/>
        <v>0.33805964895516666</v>
      </c>
      <c r="BA146" s="580">
        <f t="shared" si="532"/>
        <v>0.50429583468648198</v>
      </c>
      <c r="BB146" s="580">
        <f t="shared" si="532"/>
        <v>0.60937219707692392</v>
      </c>
      <c r="BC146" s="580">
        <f t="shared" si="532"/>
        <v>0.77084831184101898</v>
      </c>
      <c r="BD146" s="580">
        <f t="shared" si="532"/>
        <v>0.62504188820138007</v>
      </c>
      <c r="BE146" s="580">
        <f t="shared" si="532"/>
        <v>0.49823919143574485</v>
      </c>
      <c r="BF146" s="580">
        <f t="shared" si="532"/>
        <v>0.48786331332176119</v>
      </c>
      <c r="BG146" s="580">
        <f t="shared" si="532"/>
        <v>0.68570904539962019</v>
      </c>
      <c r="BH146" s="580">
        <f t="shared" si="532"/>
        <v>0.72587627827228385</v>
      </c>
      <c r="BI146" s="580">
        <f t="shared" si="532"/>
        <v>0.11759680750847906</v>
      </c>
      <c r="BJ146" s="580">
        <f t="shared" si="532"/>
        <v>0.62015902584157523</v>
      </c>
      <c r="BK146" s="580">
        <f t="shared" si="532"/>
        <v>1.0159056845527386</v>
      </c>
      <c r="BL146" s="580">
        <f t="shared" si="532"/>
        <v>0.80086623676949853</v>
      </c>
      <c r="BM146" s="580">
        <f t="shared" si="532"/>
        <v>0.54872595524846113</v>
      </c>
      <c r="BN146" s="580">
        <f t="shared" si="532"/>
        <v>1.0736326704650196</v>
      </c>
      <c r="BO146" s="580">
        <f t="shared" si="532"/>
        <v>1.0569856583039337</v>
      </c>
      <c r="BP146" s="580">
        <f t="shared" si="532"/>
        <v>1.6440475421934326</v>
      </c>
      <c r="BQ146" s="580">
        <f t="shared" si="532"/>
        <v>2.531899901391931</v>
      </c>
      <c r="BR146" s="580">
        <f t="shared" si="532"/>
        <v>2.4907053792261067</v>
      </c>
      <c r="BS146" s="580">
        <f t="shared" si="532"/>
        <v>1.8332872286990769</v>
      </c>
      <c r="BT146" s="580">
        <f t="shared" si="532"/>
        <v>1.2735722992244178</v>
      </c>
      <c r="BU146" s="580">
        <f t="shared" si="532"/>
        <v>1.6613056878949941</v>
      </c>
      <c r="BV146" s="580">
        <f t="shared" si="532"/>
        <v>1.613198359486578</v>
      </c>
      <c r="BW146" s="580">
        <f t="shared" si="532"/>
        <v>0.9158609677412165</v>
      </c>
      <c r="BX146" s="580">
        <f t="shared" si="532"/>
        <v>0.85243029935280878</v>
      </c>
      <c r="BY146" s="580">
        <f t="shared" si="532"/>
        <v>0.95872459368830665</v>
      </c>
      <c r="BZ146" s="580">
        <f t="shared" ref="BZ146" si="533">BZ145/BZ16</f>
        <v>0.95079014395798644</v>
      </c>
      <c r="CA146" s="581">
        <f t="shared" si="532"/>
        <v>0.84033768789658148</v>
      </c>
      <c r="CB146" s="581">
        <f t="shared" si="532"/>
        <v>0.72852063191098348</v>
      </c>
      <c r="CC146" s="581">
        <f t="shared" si="532"/>
        <v>0.61926662655981268</v>
      </c>
      <c r="CD146" s="581">
        <f t="shared" si="532"/>
        <v>0.50816470464708063</v>
      </c>
    </row>
    <row r="147" spans="1:82" ht="13.5" customHeight="1">
      <c r="A147" s="260" t="s">
        <v>158</v>
      </c>
      <c r="B147" s="274">
        <f t="shared" ref="B147:AJ147" si="534">-B19*4/AVERAGE(B143:B143)</f>
        <v>5.6518431359118569E-2</v>
      </c>
      <c r="C147" s="274">
        <f t="shared" si="534"/>
        <v>5.4521332988243736E-2</v>
      </c>
      <c r="D147" s="274">
        <f t="shared" si="534"/>
        <v>5.4724648723120085E-2</v>
      </c>
      <c r="E147" s="274">
        <f t="shared" si="534"/>
        <v>5.6052110595619625E-2</v>
      </c>
      <c r="F147" s="274">
        <f t="shared" si="534"/>
        <v>6.0749677762979182E-2</v>
      </c>
      <c r="G147" s="274">
        <f t="shared" si="534"/>
        <v>6.7490944576157036E-2</v>
      </c>
      <c r="H147" s="274">
        <f t="shared" si="534"/>
        <v>6.6277609718399147E-2</v>
      </c>
      <c r="I147" s="274">
        <f t="shared" si="534"/>
        <v>7.3615373643882376E-2</v>
      </c>
      <c r="J147" s="274">
        <f t="shared" si="534"/>
        <v>7.2390354163319168E-2</v>
      </c>
      <c r="K147" s="274">
        <f t="shared" si="534"/>
        <v>7.51895500796156E-2</v>
      </c>
      <c r="L147" s="274">
        <f t="shared" si="534"/>
        <v>8.1453424013184644E-2</v>
      </c>
      <c r="M147" s="274">
        <f t="shared" si="534"/>
        <v>6.7852172395221261E-2</v>
      </c>
      <c r="N147" s="274">
        <f t="shared" si="534"/>
        <v>7.5701189843398617E-2</v>
      </c>
      <c r="O147" s="274">
        <f t="shared" si="534"/>
        <v>7.5247553186786456E-2</v>
      </c>
      <c r="P147" s="274">
        <f t="shared" si="534"/>
        <v>7.4686755655023571E-2</v>
      </c>
      <c r="Q147" s="274">
        <f t="shared" si="534"/>
        <v>7.6125680156704137E-2</v>
      </c>
      <c r="R147" s="274">
        <f t="shared" si="534"/>
        <v>7.9808572488532403E-2</v>
      </c>
      <c r="S147" s="274">
        <f t="shared" si="534"/>
        <v>6.6699476486076312E-2</v>
      </c>
      <c r="T147" s="274">
        <f t="shared" si="534"/>
        <v>6.7588805349894893E-2</v>
      </c>
      <c r="U147" s="274">
        <f t="shared" si="534"/>
        <v>7.0835541116489417E-2</v>
      </c>
      <c r="V147" s="274">
        <f t="shared" si="534"/>
        <v>7.7724516249277328E-2</v>
      </c>
      <c r="W147" s="274">
        <f t="shared" si="534"/>
        <v>7.7227335735180438E-2</v>
      </c>
      <c r="X147" s="274">
        <f t="shared" si="534"/>
        <v>7.6374786430304473E-2</v>
      </c>
      <c r="Y147" s="274">
        <f t="shared" si="534"/>
        <v>7.3472963761521903E-2</v>
      </c>
      <c r="Z147" s="274">
        <f t="shared" si="534"/>
        <v>7.3666758138706281E-2</v>
      </c>
      <c r="AA147" s="274">
        <f t="shared" si="534"/>
        <v>8.1781569743568275E-2</v>
      </c>
      <c r="AB147" s="274">
        <f t="shared" si="534"/>
        <v>7.0502029903950894E-2</v>
      </c>
      <c r="AC147" s="274">
        <f t="shared" si="534"/>
        <v>8.4756856179229456E-2</v>
      </c>
      <c r="AD147" s="274">
        <f t="shared" si="534"/>
        <v>8.6514319163524728E-2</v>
      </c>
      <c r="AE147" s="274">
        <f t="shared" si="534"/>
        <v>8.5774741268003649E-2</v>
      </c>
      <c r="AF147" s="274">
        <f t="shared" si="534"/>
        <v>9.2672147489087461E-2</v>
      </c>
      <c r="AG147" s="274">
        <f t="shared" si="534"/>
        <v>9.0596081812153686E-2</v>
      </c>
      <c r="AH147" s="274">
        <f t="shared" si="534"/>
        <v>8.6813906775571575E-2</v>
      </c>
      <c r="AI147" s="274">
        <f t="shared" si="534"/>
        <v>9.4234208661107779E-2</v>
      </c>
      <c r="AJ147" s="274">
        <f t="shared" si="534"/>
        <v>8.6172574271833904E-2</v>
      </c>
      <c r="AK147" s="274">
        <f t="shared" ref="AK147:AL147" si="535">-AK19*4/AVERAGE(AK143:AK143)</f>
        <v>8.2714491648810937E-2</v>
      </c>
      <c r="AL147" s="274">
        <f t="shared" si="535"/>
        <v>9.8427306130048381E-2</v>
      </c>
      <c r="AM147" s="274">
        <f t="shared" ref="AM147:AN147" si="536">-AM19*4/AVERAGE(AM143:AM143)</f>
        <v>8.7450428753142032E-2</v>
      </c>
      <c r="AN147" s="274">
        <f t="shared" si="536"/>
        <v>8.8826418044846589E-2</v>
      </c>
      <c r="AO147" s="274">
        <f t="shared" ref="AO147" si="537">-AO19*4/AVERAGE(AO143:AO143)</f>
        <v>8.8372651769205612E-2</v>
      </c>
      <c r="AP147" s="316">
        <f t="shared" ref="AP147:AS147" si="538">+AP150*AP151</f>
        <v>7.5852236505257117E-2</v>
      </c>
      <c r="AQ147" s="316">
        <f t="shared" si="538"/>
        <v>7.4216004903605193E-2</v>
      </c>
      <c r="AR147" s="316">
        <f t="shared" si="538"/>
        <v>7.4341767330047923E-2</v>
      </c>
      <c r="AS147" s="316">
        <f t="shared" si="538"/>
        <v>7.4053327399998009E-2</v>
      </c>
      <c r="AU147" s="316">
        <v>7.4749983785622684E-2</v>
      </c>
      <c r="AW147" s="274">
        <f>-AW19/AVERAGE(A143:AW143)</f>
        <v>7.4890074870042666E-3</v>
      </c>
      <c r="AX147" s="274">
        <f t="shared" ref="AX147:BZ147" si="539">-AX19/AVERAGE(AW143:AX143)</f>
        <v>9.0684676515006293E-2</v>
      </c>
      <c r="AY147" s="274">
        <f t="shared" si="539"/>
        <v>9.8541060414852777E-2</v>
      </c>
      <c r="AZ147" s="274">
        <f t="shared" si="539"/>
        <v>0.11151127561186668</v>
      </c>
      <c r="BA147" s="274">
        <f t="shared" si="539"/>
        <v>9.6225050828779579E-2</v>
      </c>
      <c r="BB147" s="274">
        <f t="shared" si="539"/>
        <v>8.7986001928738941E-2</v>
      </c>
      <c r="BC147" s="274">
        <f t="shared" si="539"/>
        <v>8.7325769136215342E-2</v>
      </c>
      <c r="BD147" s="274">
        <f t="shared" si="539"/>
        <v>8.6805018152552205E-2</v>
      </c>
      <c r="BE147" s="274">
        <f t="shared" si="539"/>
        <v>9.2766210094224491E-2</v>
      </c>
      <c r="BF147" s="274">
        <f t="shared" si="539"/>
        <v>9.3944074451145873E-2</v>
      </c>
      <c r="BG147" s="274">
        <f t="shared" si="539"/>
        <v>8.7020293031059584E-2</v>
      </c>
      <c r="BH147" s="274">
        <f t="shared" si="539"/>
        <v>8.0792957801048351E-2</v>
      </c>
      <c r="BI147" s="274">
        <f t="shared" si="539"/>
        <v>0.10007446255574252</v>
      </c>
      <c r="BJ147" s="274">
        <f t="shared" si="539"/>
        <v>7.3237402855070868E-2</v>
      </c>
      <c r="BK147" s="274">
        <f t="shared" si="539"/>
        <v>7.1380537648828485E-2</v>
      </c>
      <c r="BL147" s="274">
        <f t="shared" si="539"/>
        <v>7.6405534730064492E-2</v>
      </c>
      <c r="BM147" s="274">
        <f t="shared" si="539"/>
        <v>7.4114590007609879E-2</v>
      </c>
      <c r="BN147" s="274">
        <f t="shared" si="539"/>
        <v>7.7925739905441146E-2</v>
      </c>
      <c r="BO147" s="274">
        <f t="shared" si="539"/>
        <v>7.0933249600486623E-2</v>
      </c>
      <c r="BP147" s="274">
        <f t="shared" si="539"/>
        <v>6.0472090487339744E-2</v>
      </c>
      <c r="BQ147" s="274">
        <f t="shared" si="539"/>
        <v>6.4493878355565748E-2</v>
      </c>
      <c r="BR147" s="274">
        <f t="shared" si="539"/>
        <v>7.5119689046560786E-2</v>
      </c>
      <c r="BS147" s="274">
        <f t="shared" si="539"/>
        <v>7.6062751641047976E-2</v>
      </c>
      <c r="BT147" s="274">
        <f t="shared" si="539"/>
        <v>7.7133682422758629E-2</v>
      </c>
      <c r="BU147" s="274">
        <f t="shared" si="539"/>
        <v>7.0324458895591066E-2</v>
      </c>
      <c r="BV147" s="274">
        <f t="shared" si="539"/>
        <v>7.5327427550399423E-2</v>
      </c>
      <c r="BW147" s="274">
        <f t="shared" si="539"/>
        <v>8.7812729900720948E-2</v>
      </c>
      <c r="BX147" s="274">
        <f t="shared" si="539"/>
        <v>8.3869970709051375E-2</v>
      </c>
      <c r="BY147" s="274">
        <f t="shared" si="539"/>
        <v>8.1805519663788406E-2</v>
      </c>
      <c r="BZ147" s="274">
        <f t="shared" si="539"/>
        <v>7.461583403472706E-2</v>
      </c>
      <c r="CA147" s="316">
        <f>+CA150*CA151</f>
        <v>6.224316964383312E-2</v>
      </c>
      <c r="CB147" s="316">
        <f>+CB150*CB151</f>
        <v>6.5436509549756147E-2</v>
      </c>
      <c r="CC147" s="316">
        <f>+CC150*CC151</f>
        <v>6.8533621071049433E-2</v>
      </c>
      <c r="CD147" s="316">
        <f>+CD150*CD151</f>
        <v>6.7707283574841459E-2</v>
      </c>
    </row>
    <row r="148" spans="1:82" ht="13.5" customHeight="1">
      <c r="A148" s="260" t="s">
        <v>159</v>
      </c>
      <c r="B148" s="274">
        <f>B18/AVERAGE(B56:B56)*4</f>
        <v>2.3321378161455155E-2</v>
      </c>
      <c r="C148" s="274">
        <f t="shared" ref="C148:AL148" si="540">C18/AVERAGE(B56:C56)*4</f>
        <v>3.2441074494521618E-2</v>
      </c>
      <c r="D148" s="274">
        <f t="shared" si="540"/>
        <v>3.4660164494478278E-2</v>
      </c>
      <c r="E148" s="274">
        <f t="shared" si="540"/>
        <v>2.0002421890081553E-2</v>
      </c>
      <c r="F148" s="274">
        <f t="shared" si="540"/>
        <v>4.847850552925892E-2</v>
      </c>
      <c r="G148" s="274">
        <f t="shared" si="540"/>
        <v>4.3020249511951159E-2</v>
      </c>
      <c r="H148" s="274">
        <f t="shared" si="540"/>
        <v>3.5987520220168157E-2</v>
      </c>
      <c r="I148" s="274">
        <f t="shared" si="540"/>
        <v>3.5298213709103562E-2</v>
      </c>
      <c r="J148" s="274">
        <f t="shared" si="540"/>
        <v>8.1009558194036865E-2</v>
      </c>
      <c r="K148" s="274">
        <f t="shared" si="540"/>
        <v>2.345372741272668E-2</v>
      </c>
      <c r="L148" s="274">
        <f t="shared" si="540"/>
        <v>5.2964899032495648E-2</v>
      </c>
      <c r="M148" s="274">
        <f t="shared" si="540"/>
        <v>4.256940480927747E-2</v>
      </c>
      <c r="N148" s="274">
        <f t="shared" si="540"/>
        <v>6.6030941859636386E-2</v>
      </c>
      <c r="O148" s="274">
        <f t="shared" si="540"/>
        <v>5.3105688600135988E-2</v>
      </c>
      <c r="P148" s="274">
        <f t="shared" si="540"/>
        <v>4.436786669839906E-2</v>
      </c>
      <c r="Q148" s="274">
        <f t="shared" si="540"/>
        <v>3.5793729369972202E-2</v>
      </c>
      <c r="R148" s="274">
        <f t="shared" si="540"/>
        <v>6.85008536824456E-2</v>
      </c>
      <c r="S148" s="274">
        <f t="shared" si="540"/>
        <v>2.3275565673188725E-2</v>
      </c>
      <c r="T148" s="274">
        <f t="shared" si="540"/>
        <v>5.2190070470883497E-2</v>
      </c>
      <c r="U148" s="274">
        <f t="shared" si="540"/>
        <v>3.6862765199291339E-2</v>
      </c>
      <c r="V148" s="274">
        <f t="shared" si="540"/>
        <v>3.7011765081553079E-2</v>
      </c>
      <c r="W148" s="274">
        <f t="shared" si="540"/>
        <v>3.0413312650108552E-2</v>
      </c>
      <c r="X148" s="274">
        <f t="shared" si="540"/>
        <v>3.1778530895052635E-2</v>
      </c>
      <c r="Y148" s="274">
        <f t="shared" si="540"/>
        <v>3.5837567850752941E-2</v>
      </c>
      <c r="Z148" s="274">
        <f t="shared" si="540"/>
        <v>3.685120505616224E-2</v>
      </c>
      <c r="AA148" s="274">
        <f t="shared" si="540"/>
        <v>3.6466821651142081E-2</v>
      </c>
      <c r="AB148" s="274">
        <f t="shared" si="540"/>
        <v>5.4039255215919665E-2</v>
      </c>
      <c r="AC148" s="274">
        <f t="shared" si="540"/>
        <v>7.1745321463963771E-2</v>
      </c>
      <c r="AD148" s="274">
        <f t="shared" si="540"/>
        <v>7.3759080060394472E-2</v>
      </c>
      <c r="AE148" s="274">
        <f t="shared" si="540"/>
        <v>7.3828784396782532E-2</v>
      </c>
      <c r="AF148" s="274">
        <f t="shared" si="540"/>
        <v>6.7237966136450056E-2</v>
      </c>
      <c r="AG148" s="274">
        <f t="shared" si="540"/>
        <v>8.2222022766316932E-2</v>
      </c>
      <c r="AH148" s="274">
        <f t="shared" si="540"/>
        <v>7.5267035663676693E-2</v>
      </c>
      <c r="AI148" s="274">
        <f t="shared" si="540"/>
        <v>6.2702799879982563E-2</v>
      </c>
      <c r="AJ148" s="274">
        <f t="shared" si="540"/>
        <v>7.4816351569714418E-2</v>
      </c>
      <c r="AK148" s="274">
        <f t="shared" si="540"/>
        <v>5.8124047511307037E-2</v>
      </c>
      <c r="AL148" s="274">
        <f t="shared" si="540"/>
        <v>8.0421010826638967E-2</v>
      </c>
      <c r="AM148" s="274">
        <f t="shared" ref="AM148" si="541">AM18/AVERAGE(AL56:AM56)*4</f>
        <v>5.5198565234198194E-2</v>
      </c>
      <c r="AN148" s="274">
        <f t="shared" ref="AN148:AO148" si="542">AN18/AVERAGE(AM56:AN56)*4</f>
        <v>4.0482313638406688E-2</v>
      </c>
      <c r="AO148" s="274">
        <f t="shared" si="542"/>
        <v>4.4430113610835521E-2</v>
      </c>
      <c r="AP148" s="316">
        <f t="shared" ref="AP148:AS148" si="543">+AP150*AP152</f>
        <v>4.5235912392868928E-2</v>
      </c>
      <c r="AQ148" s="316">
        <f t="shared" si="543"/>
        <v>4.0388043037180757E-2</v>
      </c>
      <c r="AR148" s="316">
        <f t="shared" si="543"/>
        <v>3.8963075685166847E-2</v>
      </c>
      <c r="AS148" s="316">
        <f t="shared" si="543"/>
        <v>4.0063169273277091E-2</v>
      </c>
      <c r="AU148" s="316">
        <v>4.823049336078096E-2</v>
      </c>
      <c r="AW148" s="274">
        <f>AW18/AVERAGE(A56:AW56)</f>
        <v>2.5219777235797426E-2</v>
      </c>
      <c r="AX148" s="274">
        <f t="shared" ref="AX148:BZ148" si="544">AX18/AVERAGE(AW56:AX56)</f>
        <v>0.22283904263329593</v>
      </c>
      <c r="AY148" s="274">
        <f t="shared" si="544"/>
        <v>0.18202292183255575</v>
      </c>
      <c r="AZ148" s="274">
        <f t="shared" si="544"/>
        <v>9.0236189693449542E-2</v>
      </c>
      <c r="BA148" s="274">
        <f t="shared" si="544"/>
        <v>6.2191045284948579E-2</v>
      </c>
      <c r="BB148" s="274">
        <f t="shared" si="544"/>
        <v>2.8882656270166951E-2</v>
      </c>
      <c r="BC148" s="274">
        <f t="shared" si="544"/>
        <v>2.8982573668735134E-2</v>
      </c>
      <c r="BD148" s="274">
        <f t="shared" si="544"/>
        <v>4.0767270003523932E-2</v>
      </c>
      <c r="BE148" s="274">
        <f t="shared" si="544"/>
        <v>4.7318972662012355E-2</v>
      </c>
      <c r="BF148" s="274">
        <f t="shared" si="544"/>
        <v>5.8776713799367608E-2</v>
      </c>
      <c r="BG148" s="274">
        <f t="shared" si="544"/>
        <v>8.4482287498364131E-2</v>
      </c>
      <c r="BH148" s="274">
        <f t="shared" si="544"/>
        <v>6.9695536929579485E-2</v>
      </c>
      <c r="BI148" s="274">
        <f t="shared" si="544"/>
        <v>5.6838383887407001E-2</v>
      </c>
      <c r="BJ148" s="274">
        <f t="shared" si="544"/>
        <v>3.1142747422021923E-2</v>
      </c>
      <c r="BK148" s="274">
        <f t="shared" si="544"/>
        <v>3.3718785245897831E-2</v>
      </c>
      <c r="BL148" s="274">
        <f t="shared" si="544"/>
        <v>2.7533955983147937E-2</v>
      </c>
      <c r="BM148" s="274">
        <f t="shared" si="544"/>
        <v>2.8655318130179169E-2</v>
      </c>
      <c r="BN148" s="274">
        <f t="shared" si="544"/>
        <v>4.3550080523596393E-2</v>
      </c>
      <c r="BO148" s="274">
        <f t="shared" si="544"/>
        <v>3.183903316628215E-2</v>
      </c>
      <c r="BP148" s="274">
        <f t="shared" si="544"/>
        <v>3.5046528490617623E-2</v>
      </c>
      <c r="BQ148" s="274">
        <f t="shared" si="544"/>
        <v>4.35854784068763E-2</v>
      </c>
      <c r="BR148" s="274">
        <f t="shared" si="544"/>
        <v>5.9565585169324156E-2</v>
      </c>
      <c r="BS148" s="274">
        <f t="shared" si="544"/>
        <v>5.4354861244977841E-2</v>
      </c>
      <c r="BT148" s="274">
        <f t="shared" si="544"/>
        <v>4.7079090004450395E-2</v>
      </c>
      <c r="BU148" s="274">
        <f t="shared" si="544"/>
        <v>3.2748027931670635E-2</v>
      </c>
      <c r="BV148" s="274">
        <f t="shared" si="544"/>
        <v>4.9056768838067991E-2</v>
      </c>
      <c r="BW148" s="274">
        <f t="shared" si="544"/>
        <v>7.6015666555673905E-2</v>
      </c>
      <c r="BX148" s="274">
        <f t="shared" si="544"/>
        <v>6.9930641844235156E-2</v>
      </c>
      <c r="BY148" s="274">
        <f t="shared" si="544"/>
        <v>5.1907644315858377E-2</v>
      </c>
      <c r="BZ148" s="274">
        <f t="shared" si="544"/>
        <v>6.330232407819622E-2</v>
      </c>
      <c r="CA148" s="316">
        <f>+CA150*CA152</f>
        <v>4.898529937468795E-2</v>
      </c>
      <c r="CB148" s="316">
        <f>+CB150*CB152</f>
        <v>5.0525657704976606E-2</v>
      </c>
      <c r="CC148" s="316">
        <f>+CC150*CC152</f>
        <v>5.2099225397432475E-2</v>
      </c>
      <c r="CD148" s="316">
        <f>+CD150*CD152</f>
        <v>5.3728126638823301E-2</v>
      </c>
    </row>
    <row r="149" spans="1:82" ht="13.5" customHeight="1">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c r="Z149" s="274"/>
      <c r="AA149" s="274"/>
      <c r="AB149" s="274"/>
      <c r="AC149" s="274"/>
      <c r="AD149" s="274"/>
      <c r="AE149" s="274"/>
      <c r="AF149" s="274"/>
      <c r="AG149" s="274"/>
      <c r="AH149" s="274"/>
      <c r="AI149" s="274"/>
      <c r="AJ149" s="274"/>
      <c r="AK149" s="274"/>
      <c r="AL149" s="274"/>
      <c r="AM149" s="274"/>
      <c r="AN149" s="274"/>
      <c r="AO149" s="274"/>
      <c r="AP149" s="316"/>
      <c r="AQ149" s="316"/>
      <c r="AR149" s="316"/>
      <c r="AS149" s="316"/>
      <c r="AU149" s="316"/>
      <c r="AW149" s="274"/>
      <c r="AX149" s="274"/>
      <c r="AY149" s="274"/>
      <c r="AZ149" s="274"/>
      <c r="BA149" s="274"/>
      <c r="BB149" s="274"/>
      <c r="BC149" s="274"/>
      <c r="BD149" s="274"/>
      <c r="BE149" s="274"/>
      <c r="BF149" s="274"/>
      <c r="BG149" s="274"/>
      <c r="BH149" s="274"/>
      <c r="BI149" s="274"/>
      <c r="BJ149" s="274"/>
      <c r="BK149" s="274"/>
      <c r="BL149" s="274"/>
      <c r="BM149" s="274"/>
      <c r="BN149" s="274"/>
      <c r="BO149" s="274"/>
      <c r="BP149" s="274"/>
      <c r="BQ149" s="274"/>
      <c r="BR149" s="274"/>
      <c r="BS149" s="274"/>
      <c r="BT149" s="274"/>
      <c r="BU149" s="274"/>
      <c r="BV149" s="274"/>
      <c r="BW149" s="274"/>
      <c r="BX149" s="274"/>
      <c r="BY149" s="274"/>
      <c r="BZ149" s="274"/>
      <c r="CA149" s="316"/>
      <c r="CB149" s="316"/>
      <c r="CC149" s="316"/>
      <c r="CD149" s="316"/>
    </row>
    <row r="150" spans="1:82" s="383" customFormat="1" ht="13.5" customHeight="1">
      <c r="A150" s="383" t="s">
        <v>160</v>
      </c>
      <c r="B150" s="389">
        <f>+macro!AD51</f>
        <v>4.0650000000000006E-2</v>
      </c>
      <c r="C150" s="389">
        <f>+macro!AE51</f>
        <v>4.1138000000000001E-2</v>
      </c>
      <c r="D150" s="389">
        <f>+macro!AF51</f>
        <v>5.0724999999999999E-2</v>
      </c>
      <c r="E150" s="389">
        <f>+macro!AG51</f>
        <v>6.1100000000000002E-2</v>
      </c>
      <c r="F150" s="389">
        <f>+macro!AH51</f>
        <v>6.8349999999999994E-2</v>
      </c>
      <c r="G150" s="389">
        <f>+macro!AI51</f>
        <v>7.3650000000000007E-2</v>
      </c>
      <c r="H150" s="389">
        <f>+macro!AJ51</f>
        <v>7.3724999999999999E-2</v>
      </c>
      <c r="I150" s="389">
        <f>+macro!AK51</f>
        <v>7.6311000000000004E-2</v>
      </c>
      <c r="J150" s="389">
        <f>+macro!AL51</f>
        <v>7.8503000000000003E-2</v>
      </c>
      <c r="K150" s="389">
        <f>+macro!AM51</f>
        <v>8.1004000000000007E-2</v>
      </c>
      <c r="L150" s="389">
        <f>+macro!AN51</f>
        <v>8.1199999999999994E-2</v>
      </c>
      <c r="M150" s="389">
        <f>+macro!AO51</f>
        <v>8.5897000000000001E-2</v>
      </c>
      <c r="N150" s="389">
        <f>+macro!AP51</f>
        <v>8.5150000000000003E-2</v>
      </c>
      <c r="O150" s="389">
        <f>+macro!AQ51</f>
        <v>8.488699999999999E-2</v>
      </c>
      <c r="P150" s="389">
        <f>+macro!AR51</f>
        <v>8.0274999999999999E-2</v>
      </c>
      <c r="Q150" s="389">
        <f>+macro!AS51</f>
        <v>7.5549999999999992E-2</v>
      </c>
      <c r="R150" s="389">
        <f>+macro!AT51</f>
        <v>6.7099999999999993E-2</v>
      </c>
      <c r="S150" s="389">
        <f>+macro!AU51</f>
        <v>5.2843000000000001E-2</v>
      </c>
      <c r="T150" s="389">
        <f>+macro!AV51</f>
        <v>4.7500000000000001E-2</v>
      </c>
      <c r="U150" s="389">
        <f>+macro!AW51</f>
        <v>4.2500000000000003E-2</v>
      </c>
      <c r="V150" s="389">
        <f>+macro!AX51</f>
        <v>4.2875000000000003E-2</v>
      </c>
      <c r="W150" s="389">
        <f>+macro!AY51</f>
        <v>4.53E-2</v>
      </c>
      <c r="X150" s="389">
        <f>+macro!AZ51</f>
        <v>4.7500000000000001E-2</v>
      </c>
      <c r="Y150" s="389">
        <f>+macro!BA51</f>
        <v>5.7099999999999998E-2</v>
      </c>
      <c r="Z150" s="389">
        <f>+macro!BB51</f>
        <v>6.7199999999999996E-2</v>
      </c>
      <c r="AA150" s="389">
        <f>+macro!BC51</f>
        <v>8.0299999999999996E-2</v>
      </c>
      <c r="AB150" s="389">
        <f>+macro!BD51</f>
        <v>9.5000000000000001E-2</v>
      </c>
      <c r="AC150" s="389">
        <f>+macro!BE51</f>
        <v>0.105</v>
      </c>
      <c r="AD150" s="389">
        <f>+macro!BF51</f>
        <v>0.115</v>
      </c>
      <c r="AE150" s="389">
        <f>+macro!BG51</f>
        <v>0.115</v>
      </c>
      <c r="AF150" s="389">
        <f>+macro!BH51</f>
        <v>0.11502800000000001</v>
      </c>
      <c r="AG150" s="389">
        <f>+macro!BI51</f>
        <v>0.11502499999999999</v>
      </c>
      <c r="AH150" s="389">
        <f>+macro!BJ51</f>
        <v>0.112485</v>
      </c>
      <c r="AI150" s="389">
        <f>+macro!BK51</f>
        <v>0.112445</v>
      </c>
      <c r="AJ150" s="389">
        <f>+macro!BL51</f>
        <v>0.1074</v>
      </c>
      <c r="AK150" s="389">
        <f>+macro!BM51</f>
        <v>0.10244999999999999</v>
      </c>
      <c r="AL150" s="389">
        <f>+macro!BN51</f>
        <v>9.2704000000000009E-2</v>
      </c>
      <c r="AM150" s="389">
        <f>+macro!BO51</f>
        <v>8.3042999999999992E-2</v>
      </c>
      <c r="AN150" s="389">
        <f>+macro!BP51</f>
        <v>7.8616999999999992E-2</v>
      </c>
      <c r="AO150" s="389">
        <f>+macro!BQ51</f>
        <v>7.3789999999999994E-2</v>
      </c>
      <c r="AP150" s="390">
        <f>+macro!BR51</f>
        <v>6.83E-2</v>
      </c>
      <c r="AQ150" s="390">
        <f>+macro!BS51</f>
        <v>6.6100000000000006E-2</v>
      </c>
      <c r="AR150" s="390">
        <f>+macro!BT51</f>
        <v>6.5199999999999994E-2</v>
      </c>
      <c r="AS150" s="390">
        <f>+macro!BU51</f>
        <v>6.480000000000001E-2</v>
      </c>
      <c r="AU150" s="390">
        <v>7.3789999999999994E-2</v>
      </c>
      <c r="AW150" s="389"/>
      <c r="AX150" s="389"/>
      <c r="AY150" s="389"/>
      <c r="AZ150" s="389"/>
      <c r="BA150" s="389"/>
      <c r="BB150" s="389"/>
      <c r="BC150" s="389"/>
      <c r="BD150" s="389"/>
      <c r="BE150" s="389"/>
      <c r="BF150" s="389"/>
      <c r="BG150" s="389"/>
      <c r="BH150" s="389"/>
      <c r="BI150" s="389"/>
      <c r="BJ150" s="389"/>
      <c r="BK150" s="389"/>
      <c r="BL150" s="389"/>
      <c r="BM150" s="389"/>
      <c r="BN150" s="389"/>
      <c r="BO150" s="389"/>
      <c r="BP150" s="389"/>
      <c r="BQ150" s="389"/>
      <c r="BR150" s="389"/>
      <c r="BS150" s="389"/>
      <c r="BT150" s="389">
        <f>+macro!DH51</f>
        <v>4.2500000000000003E-2</v>
      </c>
      <c r="BU150" s="389">
        <f>+macro!DI51</f>
        <v>5.7099999999999998E-2</v>
      </c>
      <c r="BV150" s="389">
        <f>+macro!DJ51</f>
        <v>0.105</v>
      </c>
      <c r="BW150" s="389">
        <f>+macro!DK51</f>
        <v>0.11502499999999999</v>
      </c>
      <c r="BX150" s="389">
        <f>+macro!DL51</f>
        <v>0.10244999999999999</v>
      </c>
      <c r="BY150" s="389">
        <f>+macro!DM51</f>
        <v>7.3789999999999994E-2</v>
      </c>
      <c r="BZ150" s="389">
        <f>+macro!DN51</f>
        <v>6.480000000000001E-2</v>
      </c>
      <c r="CA150" s="390">
        <f>+macro!DO51</f>
        <v>6.480000000000001E-2</v>
      </c>
      <c r="CB150" s="390">
        <f>+macro!DP51</f>
        <v>6.480000000000001E-2</v>
      </c>
      <c r="CC150" s="390">
        <f>+macro!DQ51</f>
        <v>6.480000000000001E-2</v>
      </c>
      <c r="CD150" s="390">
        <f>+macro!DR51</f>
        <v>6.480000000000001E-2</v>
      </c>
    </row>
    <row r="151" spans="1:82" s="383" customFormat="1" ht="13.5" customHeight="1">
      <c r="A151" s="260" t="s">
        <v>161</v>
      </c>
      <c r="B151" s="246">
        <f t="shared" ref="B151:AI151" si="545">+B147/B150</f>
        <v>1.3903673151074676</v>
      </c>
      <c r="C151" s="246">
        <f t="shared" si="545"/>
        <v>1.3253277502125465</v>
      </c>
      <c r="D151" s="246">
        <f t="shared" si="545"/>
        <v>1.0788496544725497</v>
      </c>
      <c r="E151" s="246">
        <f t="shared" si="545"/>
        <v>0.91738315213780075</v>
      </c>
      <c r="F151" s="246">
        <f t="shared" si="545"/>
        <v>0.88880289338667429</v>
      </c>
      <c r="G151" s="246">
        <f t="shared" si="545"/>
        <v>0.91637399288740029</v>
      </c>
      <c r="H151" s="246">
        <f t="shared" si="545"/>
        <v>0.89898419421362019</v>
      </c>
      <c r="I151" s="246">
        <f t="shared" si="545"/>
        <v>0.96467578257239939</v>
      </c>
      <c r="J151" s="246">
        <f t="shared" si="545"/>
        <v>0.92213487590689736</v>
      </c>
      <c r="K151" s="246">
        <f t="shared" si="545"/>
        <v>0.92822021233044782</v>
      </c>
      <c r="L151" s="246">
        <f t="shared" si="545"/>
        <v>1.0031209853840475</v>
      </c>
      <c r="M151" s="246">
        <f t="shared" si="545"/>
        <v>0.78992482153301347</v>
      </c>
      <c r="N151" s="246">
        <f t="shared" si="545"/>
        <v>0.88903335106751158</v>
      </c>
      <c r="O151" s="246">
        <f t="shared" si="545"/>
        <v>0.8864437803996662</v>
      </c>
      <c r="P151" s="246">
        <f t="shared" si="545"/>
        <v>0.93038624297755923</v>
      </c>
      <c r="Q151" s="246">
        <f t="shared" si="545"/>
        <v>1.0076198564752368</v>
      </c>
      <c r="R151" s="246">
        <f t="shared" si="545"/>
        <v>1.1893975035548794</v>
      </c>
      <c r="S151" s="246">
        <f t="shared" si="545"/>
        <v>1.2622197166337321</v>
      </c>
      <c r="T151" s="246">
        <f t="shared" si="545"/>
        <v>1.422922217892524</v>
      </c>
      <c r="U151" s="246">
        <f t="shared" si="545"/>
        <v>1.6667186145056332</v>
      </c>
      <c r="V151" s="246">
        <f t="shared" si="545"/>
        <v>1.8128167055225031</v>
      </c>
      <c r="W151" s="246">
        <f t="shared" si="545"/>
        <v>1.7047976983483542</v>
      </c>
      <c r="X151" s="246">
        <f t="shared" si="545"/>
        <v>1.6078902406379889</v>
      </c>
      <c r="Y151" s="246">
        <f t="shared" si="545"/>
        <v>1.2867419222683345</v>
      </c>
      <c r="Z151" s="246">
        <f t="shared" si="545"/>
        <v>1.0962315199212245</v>
      </c>
      <c r="AA151" s="246">
        <f t="shared" si="545"/>
        <v>1.0184504326720831</v>
      </c>
      <c r="AB151" s="246">
        <f t="shared" si="545"/>
        <v>0.74212663056790418</v>
      </c>
      <c r="AC151" s="246">
        <f t="shared" si="545"/>
        <v>0.80720815408789959</v>
      </c>
      <c r="AD151" s="246">
        <f t="shared" si="545"/>
        <v>0.75229842750891063</v>
      </c>
      <c r="AE151" s="246">
        <f t="shared" si="545"/>
        <v>0.74586731537394468</v>
      </c>
      <c r="AF151" s="246">
        <f t="shared" si="545"/>
        <v>0.80564860285397866</v>
      </c>
      <c r="AG151" s="246">
        <f t="shared" si="545"/>
        <v>0.78762079384615258</v>
      </c>
      <c r="AH151" s="246">
        <f t="shared" si="545"/>
        <v>0.77178207561516265</v>
      </c>
      <c r="AI151" s="246">
        <f t="shared" si="545"/>
        <v>0.83804712224739009</v>
      </c>
      <c r="AJ151" s="246">
        <f>+AJ147/AJ150</f>
        <v>0.80235171575264341</v>
      </c>
      <c r="AK151" s="246">
        <f>+AK147/AK150</f>
        <v>0.80736448656721282</v>
      </c>
      <c r="AL151" s="246">
        <f>+AL147/AL150</f>
        <v>1.0617374237362829</v>
      </c>
      <c r="AM151" s="246">
        <f t="shared" ref="AM151:AN151" si="546">+AM147/AM150</f>
        <v>1.0530740550454829</v>
      </c>
      <c r="AN151" s="246">
        <f t="shared" si="546"/>
        <v>1.1298627274615745</v>
      </c>
      <c r="AO151" s="246">
        <f t="shared" ref="AO151" si="547">+AO147/AO150</f>
        <v>1.1976236857190083</v>
      </c>
      <c r="AP151" s="360">
        <f t="shared" ref="AP151:AP152" si="548">+AVERAGE(AL151:AO151)</f>
        <v>1.1105744729905873</v>
      </c>
      <c r="AQ151" s="360">
        <f t="shared" ref="AQ151:AQ152" si="549">+AVERAGE(AM151:AP151)</f>
        <v>1.1227837353041632</v>
      </c>
      <c r="AR151" s="360">
        <f t="shared" ref="AR151:AR152" si="550">+AVERAGE(AN151:AQ151)</f>
        <v>1.1402111553688332</v>
      </c>
      <c r="AS151" s="360">
        <f t="shared" ref="AS151:AS152" si="551">+AVERAGE(AO151:AR151)</f>
        <v>1.1427982623456481</v>
      </c>
      <c r="AU151" s="390">
        <v>1.0130096732026383</v>
      </c>
      <c r="AW151" s="389"/>
      <c r="AX151" s="389"/>
      <c r="AY151" s="389"/>
      <c r="AZ151" s="389"/>
      <c r="BA151" s="389"/>
      <c r="BB151" s="389"/>
      <c r="BC151" s="389"/>
      <c r="BD151" s="389"/>
      <c r="BE151" s="389"/>
      <c r="BF151" s="389"/>
      <c r="BG151" s="389"/>
      <c r="BH151" s="389"/>
      <c r="BI151" s="389"/>
      <c r="BJ151" s="389"/>
      <c r="BK151" s="389"/>
      <c r="BL151" s="389"/>
      <c r="BM151" s="389"/>
      <c r="BN151" s="389"/>
      <c r="BO151" s="389"/>
      <c r="BP151" s="389"/>
      <c r="BQ151" s="389"/>
      <c r="BR151" s="389"/>
      <c r="BS151" s="389"/>
      <c r="BT151" s="246">
        <f t="shared" ref="BT151:BY151" si="552">+BT147/BT150</f>
        <v>1.814910174653144</v>
      </c>
      <c r="BU151" s="246">
        <f t="shared" si="552"/>
        <v>1.2316017319718227</v>
      </c>
      <c r="BV151" s="246">
        <f t="shared" si="552"/>
        <v>0.71740407190856592</v>
      </c>
      <c r="BW151" s="246">
        <f t="shared" si="552"/>
        <v>0.76342299413797832</v>
      </c>
      <c r="BX151" s="246">
        <f t="shared" si="552"/>
        <v>0.8186429547003552</v>
      </c>
      <c r="BY151" s="246">
        <f t="shared" si="552"/>
        <v>1.1086260965413797</v>
      </c>
      <c r="BZ151" s="246">
        <f t="shared" ref="BZ151" si="553">+BZ147/BZ150</f>
        <v>1.1514789202889977</v>
      </c>
      <c r="CA151" s="360">
        <f t="shared" ref="CA151:CD152" si="554">+AVERAGE(BW151:BZ151)</f>
        <v>0.96054274141717766</v>
      </c>
      <c r="CB151" s="360">
        <f t="shared" si="554"/>
        <v>1.0098226782369775</v>
      </c>
      <c r="CC151" s="360">
        <f t="shared" si="554"/>
        <v>1.0576176091211331</v>
      </c>
      <c r="CD151" s="360">
        <f t="shared" si="554"/>
        <v>1.0448654872660716</v>
      </c>
    </row>
    <row r="152" spans="1:82" ht="13.5" customHeight="1">
      <c r="A152" s="260" t="s">
        <v>162</v>
      </c>
      <c r="B152" s="246">
        <f t="shared" ref="B152:AI152" si="555">+B148/B150</f>
        <v>0.57371163988819562</v>
      </c>
      <c r="C152" s="246">
        <f t="shared" si="555"/>
        <v>0.78859143600859594</v>
      </c>
      <c r="D152" s="246">
        <f t="shared" si="555"/>
        <v>0.68329550506610703</v>
      </c>
      <c r="E152" s="246">
        <f t="shared" si="555"/>
        <v>0.32737188036140019</v>
      </c>
      <c r="F152" s="246">
        <f t="shared" si="555"/>
        <v>0.70926855200086214</v>
      </c>
      <c r="G152" s="246">
        <f t="shared" si="555"/>
        <v>0.58411744075968985</v>
      </c>
      <c r="H152" s="246">
        <f t="shared" si="555"/>
        <v>0.48813184428847955</v>
      </c>
      <c r="I152" s="246">
        <f t="shared" si="555"/>
        <v>0.46255734702865331</v>
      </c>
      <c r="J152" s="246">
        <f t="shared" si="555"/>
        <v>1.0319294573970021</v>
      </c>
      <c r="K152" s="246">
        <f t="shared" si="555"/>
        <v>0.28953789211306452</v>
      </c>
      <c r="L152" s="246">
        <f t="shared" si="555"/>
        <v>0.65227708168098097</v>
      </c>
      <c r="M152" s="246">
        <f t="shared" si="555"/>
        <v>0.49558663060732583</v>
      </c>
      <c r="N152" s="246">
        <f t="shared" si="555"/>
        <v>0.77546614045374496</v>
      </c>
      <c r="O152" s="246">
        <f t="shared" si="555"/>
        <v>0.62560449303351506</v>
      </c>
      <c r="P152" s="246">
        <f t="shared" si="555"/>
        <v>0.55269843286700793</v>
      </c>
      <c r="Q152" s="246">
        <f t="shared" si="555"/>
        <v>0.4737753722034706</v>
      </c>
      <c r="R152" s="246">
        <f t="shared" si="555"/>
        <v>1.0208771040602922</v>
      </c>
      <c r="S152" s="246">
        <f t="shared" si="555"/>
        <v>0.44046639428474393</v>
      </c>
      <c r="T152" s="246">
        <f t="shared" si="555"/>
        <v>1.0987383257028105</v>
      </c>
      <c r="U152" s="246">
        <f t="shared" si="555"/>
        <v>0.86735918115979616</v>
      </c>
      <c r="V152" s="246">
        <f t="shared" si="555"/>
        <v>0.86324816516741865</v>
      </c>
      <c r="W152" s="246">
        <f t="shared" si="555"/>
        <v>0.67137555519003422</v>
      </c>
      <c r="X152" s="246">
        <f t="shared" si="555"/>
        <v>0.66902170305373965</v>
      </c>
      <c r="Y152" s="246">
        <f t="shared" si="555"/>
        <v>0.62762815850705678</v>
      </c>
      <c r="Z152" s="246">
        <f t="shared" si="555"/>
        <v>0.5483810276214619</v>
      </c>
      <c r="AA152" s="246">
        <f t="shared" si="555"/>
        <v>0.45413227460949046</v>
      </c>
      <c r="AB152" s="246">
        <f t="shared" si="555"/>
        <v>0.56883426543073334</v>
      </c>
      <c r="AC152" s="246">
        <f t="shared" si="555"/>
        <v>0.68328877584727399</v>
      </c>
      <c r="AD152" s="246">
        <f t="shared" si="555"/>
        <v>0.64138330487299533</v>
      </c>
      <c r="AE152" s="246">
        <f t="shared" si="555"/>
        <v>0.64198942953723936</v>
      </c>
      <c r="AF152" s="246">
        <f t="shared" si="555"/>
        <v>0.58453564468173014</v>
      </c>
      <c r="AG152" s="246">
        <f t="shared" si="555"/>
        <v>0.71481871563848676</v>
      </c>
      <c r="AH152" s="246">
        <f t="shared" si="555"/>
        <v>0.66912953428169708</v>
      </c>
      <c r="AI152" s="246">
        <f t="shared" si="555"/>
        <v>0.55763084067750956</v>
      </c>
      <c r="AJ152" s="246">
        <f>+AJ148/AJ150</f>
        <v>0.69661407420590704</v>
      </c>
      <c r="AK152" s="246">
        <f>+AK148/AK150</f>
        <v>0.56734062968576915</v>
      </c>
      <c r="AL152" s="246">
        <f>+AL148/AL150</f>
        <v>0.86750313715307814</v>
      </c>
      <c r="AM152" s="246">
        <f t="shared" ref="AM152:AN152" si="556">+AM148/AM150</f>
        <v>0.66469859270737086</v>
      </c>
      <c r="AN152" s="246">
        <f t="shared" si="556"/>
        <v>0.51493078645085277</v>
      </c>
      <c r="AO152" s="246">
        <f t="shared" ref="AO152" si="557">+AO148/AO150</f>
        <v>0.60211564725349676</v>
      </c>
      <c r="AP152" s="360">
        <f t="shared" si="548"/>
        <v>0.66231204089119955</v>
      </c>
      <c r="AQ152" s="360">
        <f t="shared" si="549"/>
        <v>0.61101426682573001</v>
      </c>
      <c r="AR152" s="360">
        <f t="shared" si="550"/>
        <v>0.5975931853553198</v>
      </c>
      <c r="AS152" s="360">
        <f t="shared" si="551"/>
        <v>0.6182587850814365</v>
      </c>
      <c r="AU152" s="317">
        <v>0.65361828649926768</v>
      </c>
      <c r="AW152" s="275"/>
      <c r="AX152" s="275"/>
      <c r="AY152" s="275"/>
      <c r="AZ152" s="275"/>
      <c r="BA152" s="275"/>
      <c r="BB152" s="275"/>
      <c r="BC152" s="275"/>
      <c r="BD152" s="275"/>
      <c r="BE152" s="275"/>
      <c r="BF152" s="275"/>
      <c r="BG152" s="275"/>
      <c r="BH152" s="275"/>
      <c r="BI152" s="275"/>
      <c r="BJ152" s="275"/>
      <c r="BK152" s="275"/>
      <c r="BL152" s="275"/>
      <c r="BM152" s="275"/>
      <c r="BN152" s="275"/>
      <c r="BO152" s="275"/>
      <c r="BP152" s="275"/>
      <c r="BQ152" s="275"/>
      <c r="BR152" s="275"/>
      <c r="BS152" s="275"/>
      <c r="BT152" s="246">
        <f t="shared" ref="BT152:BY152" si="558">+BT148/BT150</f>
        <v>1.1077432942223622</v>
      </c>
      <c r="BU152" s="246">
        <f t="shared" si="558"/>
        <v>0.57352062927619329</v>
      </c>
      <c r="BV152" s="246">
        <f t="shared" si="558"/>
        <v>0.46720732226731421</v>
      </c>
      <c r="BW152" s="246">
        <f t="shared" si="558"/>
        <v>0.66086213045576103</v>
      </c>
      <c r="BX152" s="246">
        <f t="shared" si="558"/>
        <v>0.68258313171532614</v>
      </c>
      <c r="BY152" s="246">
        <f t="shared" si="558"/>
        <v>0.70345093259057301</v>
      </c>
      <c r="BZ152" s="246">
        <f t="shared" ref="BZ152" si="559">+BZ148/BZ150</f>
        <v>0.97688771725611434</v>
      </c>
      <c r="CA152" s="360">
        <f t="shared" si="554"/>
        <v>0.75594597800444352</v>
      </c>
      <c r="CB152" s="360">
        <f t="shared" si="554"/>
        <v>0.77971693989161417</v>
      </c>
      <c r="CC152" s="360">
        <f t="shared" si="554"/>
        <v>0.80400039193568618</v>
      </c>
      <c r="CD152" s="360">
        <f t="shared" si="554"/>
        <v>0.82913775677196444</v>
      </c>
    </row>
    <row r="153" spans="1:82" ht="13.5" customHeight="1">
      <c r="B153" s="275"/>
      <c r="C153" s="275"/>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c r="AA153" s="275"/>
      <c r="AB153" s="275"/>
      <c r="AC153" s="275"/>
      <c r="AD153" s="275"/>
      <c r="AE153" s="275"/>
      <c r="AF153" s="275"/>
      <c r="AG153" s="275"/>
      <c r="AH153" s="275"/>
      <c r="AI153" s="275"/>
      <c r="AJ153" s="275"/>
      <c r="AK153" s="275"/>
      <c r="AL153" s="275"/>
      <c r="AM153" s="275"/>
      <c r="AN153" s="275"/>
      <c r="AO153" s="275"/>
      <c r="AP153" s="317"/>
      <c r="AQ153" s="317"/>
      <c r="AR153" s="317"/>
      <c r="AS153" s="317"/>
      <c r="AU153" s="317"/>
      <c r="AW153" s="275"/>
      <c r="AX153" s="275"/>
      <c r="AY153" s="275"/>
      <c r="AZ153" s="275"/>
      <c r="BA153" s="275"/>
      <c r="BB153" s="275"/>
      <c r="BC153" s="275"/>
      <c r="BD153" s="275"/>
      <c r="BE153" s="275"/>
      <c r="BF153" s="275"/>
      <c r="BG153" s="275"/>
      <c r="BH153" s="275"/>
      <c r="BI153" s="275"/>
      <c r="BJ153" s="275"/>
      <c r="BK153" s="275"/>
      <c r="BL153" s="275"/>
      <c r="BM153" s="275"/>
      <c r="BN153" s="275"/>
      <c r="BO153" s="275"/>
      <c r="BP153" s="275"/>
      <c r="BQ153" s="275"/>
      <c r="BR153" s="275"/>
      <c r="BS153" s="275"/>
      <c r="BT153" s="275"/>
      <c r="BU153" s="275"/>
      <c r="BV153" s="275"/>
      <c r="BW153" s="275"/>
      <c r="BX153" s="275"/>
      <c r="BY153" s="275"/>
      <c r="BZ153" s="275"/>
      <c r="CA153" s="317"/>
      <c r="CB153" s="317"/>
      <c r="CC153" s="317"/>
      <c r="CD153" s="317"/>
    </row>
    <row r="154" spans="1:82" ht="13.5" customHeight="1">
      <c r="A154" s="321" t="s">
        <v>163</v>
      </c>
      <c r="B154" s="244">
        <f t="shared" ref="B154:I154" si="560">B$2</f>
        <v>42459</v>
      </c>
      <c r="C154" s="244">
        <f t="shared" si="560"/>
        <v>42551</v>
      </c>
      <c r="D154" s="244">
        <f t="shared" si="560"/>
        <v>42643</v>
      </c>
      <c r="E154" s="244">
        <f t="shared" si="560"/>
        <v>42735</v>
      </c>
      <c r="F154" s="244">
        <f t="shared" si="560"/>
        <v>42825</v>
      </c>
      <c r="G154" s="244">
        <f t="shared" si="560"/>
        <v>42916</v>
      </c>
      <c r="H154" s="244">
        <f t="shared" si="560"/>
        <v>43008</v>
      </c>
      <c r="I154" s="244">
        <f t="shared" si="560"/>
        <v>43100</v>
      </c>
      <c r="J154" s="244">
        <f t="shared" ref="J154:AS154" si="561">J$2</f>
        <v>43190</v>
      </c>
      <c r="K154" s="244">
        <f t="shared" si="561"/>
        <v>43281</v>
      </c>
      <c r="L154" s="244">
        <f t="shared" si="561"/>
        <v>43373</v>
      </c>
      <c r="M154" s="244">
        <f t="shared" si="561"/>
        <v>43465</v>
      </c>
      <c r="N154" s="244">
        <f t="shared" si="561"/>
        <v>43555</v>
      </c>
      <c r="O154" s="244">
        <f t="shared" si="561"/>
        <v>43646</v>
      </c>
      <c r="P154" s="244">
        <f t="shared" si="561"/>
        <v>43738</v>
      </c>
      <c r="Q154" s="244">
        <f t="shared" si="561"/>
        <v>43830</v>
      </c>
      <c r="R154" s="244">
        <f t="shared" si="561"/>
        <v>43921</v>
      </c>
      <c r="S154" s="244">
        <f t="shared" si="561"/>
        <v>44012</v>
      </c>
      <c r="T154" s="244">
        <f t="shared" si="561"/>
        <v>44104</v>
      </c>
      <c r="U154" s="244">
        <f t="shared" si="561"/>
        <v>44196</v>
      </c>
      <c r="V154" s="244">
        <f t="shared" si="561"/>
        <v>44286</v>
      </c>
      <c r="W154" s="244">
        <f t="shared" si="561"/>
        <v>44377</v>
      </c>
      <c r="X154" s="244">
        <f t="shared" si="561"/>
        <v>44469</v>
      </c>
      <c r="Y154" s="244">
        <f t="shared" si="561"/>
        <v>44561</v>
      </c>
      <c r="Z154" s="244">
        <f t="shared" si="561"/>
        <v>44651</v>
      </c>
      <c r="AA154" s="244">
        <f t="shared" si="561"/>
        <v>44742</v>
      </c>
      <c r="AB154" s="244">
        <f t="shared" si="561"/>
        <v>44834</v>
      </c>
      <c r="AC154" s="244">
        <f t="shared" si="561"/>
        <v>44926</v>
      </c>
      <c r="AD154" s="244">
        <f t="shared" si="561"/>
        <v>45016</v>
      </c>
      <c r="AE154" s="244">
        <f t="shared" si="561"/>
        <v>45107</v>
      </c>
      <c r="AF154" s="244">
        <f t="shared" si="561"/>
        <v>45199</v>
      </c>
      <c r="AG154" s="244">
        <f t="shared" si="561"/>
        <v>45291</v>
      </c>
      <c r="AH154" s="244">
        <f t="shared" si="561"/>
        <v>45382</v>
      </c>
      <c r="AI154" s="244">
        <f t="shared" si="561"/>
        <v>45473</v>
      </c>
      <c r="AJ154" s="244">
        <f t="shared" si="561"/>
        <v>45565</v>
      </c>
      <c r="AK154" s="244">
        <f t="shared" si="561"/>
        <v>45657</v>
      </c>
      <c r="AL154" s="244">
        <f t="shared" si="561"/>
        <v>45747</v>
      </c>
      <c r="AM154" s="244">
        <f t="shared" si="561"/>
        <v>45838</v>
      </c>
      <c r="AN154" s="244">
        <f t="shared" si="561"/>
        <v>45930</v>
      </c>
      <c r="AO154" s="244">
        <f t="shared" si="561"/>
        <v>46022</v>
      </c>
      <c r="AP154" s="244">
        <f t="shared" si="561"/>
        <v>46112</v>
      </c>
      <c r="AQ154" s="244">
        <f t="shared" si="561"/>
        <v>46203</v>
      </c>
      <c r="AR154" s="244">
        <f t="shared" si="561"/>
        <v>46295</v>
      </c>
      <c r="AS154" s="244">
        <f t="shared" si="561"/>
        <v>46387</v>
      </c>
      <c r="AU154" s="244">
        <v>46022</v>
      </c>
      <c r="AW154" s="244">
        <f t="shared" ref="AW154:CD154" si="562">AW$2</f>
        <v>35795</v>
      </c>
      <c r="AX154" s="244">
        <f t="shared" si="562"/>
        <v>36160</v>
      </c>
      <c r="AY154" s="244">
        <f t="shared" si="562"/>
        <v>36525</v>
      </c>
      <c r="AZ154" s="244">
        <f t="shared" si="562"/>
        <v>36891</v>
      </c>
      <c r="BA154" s="244">
        <f t="shared" si="562"/>
        <v>37256</v>
      </c>
      <c r="BB154" s="244">
        <f t="shared" si="562"/>
        <v>37621</v>
      </c>
      <c r="BC154" s="244">
        <f t="shared" si="562"/>
        <v>37986</v>
      </c>
      <c r="BD154" s="244">
        <f t="shared" si="562"/>
        <v>38352</v>
      </c>
      <c r="BE154" s="244">
        <f t="shared" si="562"/>
        <v>38717</v>
      </c>
      <c r="BF154" s="244">
        <f t="shared" si="562"/>
        <v>39082</v>
      </c>
      <c r="BG154" s="244">
        <f t="shared" si="562"/>
        <v>39447</v>
      </c>
      <c r="BH154" s="244">
        <f t="shared" si="562"/>
        <v>39813</v>
      </c>
      <c r="BI154" s="244">
        <f t="shared" si="562"/>
        <v>40178</v>
      </c>
      <c r="BJ154" s="244">
        <f t="shared" si="562"/>
        <v>40543</v>
      </c>
      <c r="BK154" s="244">
        <f t="shared" si="562"/>
        <v>40908</v>
      </c>
      <c r="BL154" s="244">
        <f t="shared" si="562"/>
        <v>41274</v>
      </c>
      <c r="BM154" s="244">
        <f t="shared" si="562"/>
        <v>41639</v>
      </c>
      <c r="BN154" s="244">
        <f t="shared" si="562"/>
        <v>42004</v>
      </c>
      <c r="BO154" s="244">
        <f t="shared" si="562"/>
        <v>42369</v>
      </c>
      <c r="BP154" s="244">
        <f t="shared" si="562"/>
        <v>42735</v>
      </c>
      <c r="BQ154" s="244">
        <f t="shared" si="562"/>
        <v>43100</v>
      </c>
      <c r="BR154" s="244">
        <f t="shared" si="562"/>
        <v>43465</v>
      </c>
      <c r="BS154" s="244">
        <f t="shared" si="562"/>
        <v>43830</v>
      </c>
      <c r="BT154" s="244">
        <f t="shared" si="562"/>
        <v>44196</v>
      </c>
      <c r="BU154" s="244">
        <f t="shared" si="562"/>
        <v>44561</v>
      </c>
      <c r="BV154" s="244">
        <f t="shared" si="562"/>
        <v>44926</v>
      </c>
      <c r="BW154" s="244">
        <f t="shared" si="562"/>
        <v>45291</v>
      </c>
      <c r="BX154" s="244">
        <f t="shared" si="562"/>
        <v>45657</v>
      </c>
      <c r="BY154" s="244">
        <f t="shared" si="562"/>
        <v>46022</v>
      </c>
      <c r="BZ154" s="244">
        <f t="shared" si="562"/>
        <v>46387</v>
      </c>
      <c r="CA154" s="244">
        <f t="shared" si="562"/>
        <v>46752</v>
      </c>
      <c r="CB154" s="244">
        <f t="shared" si="562"/>
        <v>47118</v>
      </c>
      <c r="CC154" s="244">
        <f t="shared" si="562"/>
        <v>47483</v>
      </c>
      <c r="CD154" s="244">
        <f t="shared" si="562"/>
        <v>47848</v>
      </c>
    </row>
    <row r="155" spans="1:82" ht="13.5" customHeight="1">
      <c r="A155" s="260" t="s">
        <v>164</v>
      </c>
      <c r="B155" s="246">
        <f t="shared" ref="B155:AJ155" si="563">(B27-B24-B19-B18-B22-B20-B26)/B3</f>
        <v>0.20937186401456304</v>
      </c>
      <c r="C155" s="246">
        <f t="shared" si="563"/>
        <v>0.22461926275622765</v>
      </c>
      <c r="D155" s="246">
        <f t="shared" si="563"/>
        <v>0.2400604762429587</v>
      </c>
      <c r="E155" s="246">
        <f t="shared" si="563"/>
        <v>0.2127674293861915</v>
      </c>
      <c r="F155" s="246">
        <f t="shared" si="563"/>
        <v>0.18834504939295993</v>
      </c>
      <c r="G155" s="246">
        <f t="shared" si="563"/>
        <v>0.18706566429711727</v>
      </c>
      <c r="H155" s="246">
        <f t="shared" si="563"/>
        <v>0.17024996251600616</v>
      </c>
      <c r="I155" s="246">
        <f t="shared" si="563"/>
        <v>0.18984269442778731</v>
      </c>
      <c r="J155" s="246">
        <f t="shared" si="563"/>
        <v>0.19795545643662069</v>
      </c>
      <c r="K155" s="246">
        <f t="shared" si="563"/>
        <v>0.19173237099000262</v>
      </c>
      <c r="L155" s="246">
        <f t="shared" si="563"/>
        <v>0.17126836415075272</v>
      </c>
      <c r="M155" s="246">
        <f t="shared" si="563"/>
        <v>0.17007954325527389</v>
      </c>
      <c r="N155" s="246">
        <f t="shared" si="563"/>
        <v>0.18704249137461415</v>
      </c>
      <c r="O155" s="246">
        <f t="shared" si="563"/>
        <v>0.20348692606519145</v>
      </c>
      <c r="P155" s="246">
        <f t="shared" si="563"/>
        <v>0.20723682692307688</v>
      </c>
      <c r="Q155" s="246">
        <f t="shared" si="563"/>
        <v>0.2301089713915378</v>
      </c>
      <c r="R155" s="246">
        <f t="shared" si="563"/>
        <v>0.23105918644488763</v>
      </c>
      <c r="S155" s="246">
        <f t="shared" si="563"/>
        <v>0.2285951847164755</v>
      </c>
      <c r="T155" s="246">
        <f t="shared" si="563"/>
        <v>0.21266483670221081</v>
      </c>
      <c r="U155" s="246">
        <f t="shared" si="563"/>
        <v>0.2293902902651189</v>
      </c>
      <c r="V155" s="246">
        <f t="shared" si="563"/>
        <v>0.2263983610839527</v>
      </c>
      <c r="W155" s="246">
        <f t="shared" si="563"/>
        <v>0.19045491220176933</v>
      </c>
      <c r="X155" s="246">
        <f t="shared" si="563"/>
        <v>0.15315753793585568</v>
      </c>
      <c r="Y155" s="246">
        <f t="shared" si="563"/>
        <v>0.1398013836349617</v>
      </c>
      <c r="Z155" s="246">
        <f t="shared" si="563"/>
        <v>0.15947081278829334</v>
      </c>
      <c r="AA155" s="246">
        <f t="shared" si="563"/>
        <v>0.1672856609864363</v>
      </c>
      <c r="AB155" s="246">
        <f t="shared" si="563"/>
        <v>0.17609676410817568</v>
      </c>
      <c r="AC155" s="246">
        <f t="shared" si="563"/>
        <v>0.19737000406893829</v>
      </c>
      <c r="AD155" s="246">
        <f t="shared" si="563"/>
        <v>0.20534386301572077</v>
      </c>
      <c r="AE155" s="246">
        <f t="shared" si="563"/>
        <v>0.22089026512329824</v>
      </c>
      <c r="AF155" s="246">
        <f t="shared" si="563"/>
        <v>0.2322734500585083</v>
      </c>
      <c r="AG155" s="246">
        <f t="shared" si="563"/>
        <v>0.23761651994705435</v>
      </c>
      <c r="AH155" s="246">
        <f t="shared" si="563"/>
        <v>0.24657290067708379</v>
      </c>
      <c r="AI155" s="246">
        <f t="shared" si="563"/>
        <v>0.25151194199601934</v>
      </c>
      <c r="AJ155" s="246">
        <f t="shared" si="563"/>
        <v>0.22538663175476695</v>
      </c>
      <c r="AK155" s="246">
        <f t="shared" ref="AK155:AL155" si="564">(AK27-AK24-AK19-AK18-AK22-AK20-AK26)/AK3</f>
        <v>0.21379500706727941</v>
      </c>
      <c r="AL155" s="246">
        <f t="shared" si="564"/>
        <v>0.21516511241234731</v>
      </c>
      <c r="AM155" s="246">
        <f t="shared" ref="AM155:AN155" si="565">(AM27-AM24-AM19-AM18-AM22-AM20-AM26)/AM3</f>
        <v>0.21651073205401564</v>
      </c>
      <c r="AN155" s="246">
        <f t="shared" si="565"/>
        <v>0.21256055182699485</v>
      </c>
      <c r="AO155" s="246">
        <f t="shared" ref="AO155" si="566">(AO27-AO24-AO19-AO18-AO22-AO20-AO26)/AO3</f>
        <v>0.22872070682967688</v>
      </c>
      <c r="AP155" s="290">
        <f t="shared" ref="AP155:AS155" si="567">(AP27-AP24-AP19-AP18-AP22-AP20-AP26)/AP3</f>
        <v>0.22618274582413234</v>
      </c>
      <c r="AQ155" s="290">
        <f t="shared" si="567"/>
        <v>0.23241362411080344</v>
      </c>
      <c r="AR155" s="290">
        <f t="shared" si="567"/>
        <v>0.21559598045180323</v>
      </c>
      <c r="AS155" s="290">
        <f t="shared" si="567"/>
        <v>0.2349742540851692</v>
      </c>
      <c r="AU155" s="290">
        <v>0.22202296430520496</v>
      </c>
      <c r="AW155" s="246">
        <f t="shared" ref="AW155:CD155" si="568">(AW27-AW24-AW19-AW18-AW22-AW20-AW26)/AW3</f>
        <v>0.27977914652163055</v>
      </c>
      <c r="AX155" s="246">
        <f t="shared" si="568"/>
        <v>0.25608919189898943</v>
      </c>
      <c r="AY155" s="246">
        <f t="shared" si="568"/>
        <v>0.32897281280902479</v>
      </c>
      <c r="AZ155" s="246">
        <f t="shared" si="568"/>
        <v>0.31667412070155015</v>
      </c>
      <c r="BA155" s="246">
        <f t="shared" si="568"/>
        <v>0.30751578855126549</v>
      </c>
      <c r="BB155" s="246">
        <f t="shared" si="568"/>
        <v>0.25559342546365443</v>
      </c>
      <c r="BC155" s="246">
        <f t="shared" si="568"/>
        <v>0.22742430206391545</v>
      </c>
      <c r="BD155" s="246">
        <f t="shared" si="568"/>
        <v>0.24016555659708314</v>
      </c>
      <c r="BE155" s="246">
        <f t="shared" si="568"/>
        <v>0.20240913093568091</v>
      </c>
      <c r="BF155" s="246">
        <f t="shared" si="568"/>
        <v>0.27524607069580925</v>
      </c>
      <c r="BG155" s="246">
        <f t="shared" si="568"/>
        <v>0.26200977428876127</v>
      </c>
      <c r="BH155" s="246">
        <f t="shared" si="568"/>
        <v>0.25816442836182368</v>
      </c>
      <c r="BI155" s="246">
        <f t="shared" si="568"/>
        <v>0.2713339743286905</v>
      </c>
      <c r="BJ155" s="246">
        <f t="shared" si="568"/>
        <v>0.26267058611871297</v>
      </c>
      <c r="BK155" s="246">
        <f t="shared" si="568"/>
        <v>0.2163437131661626</v>
      </c>
      <c r="BL155" s="246">
        <f t="shared" si="568"/>
        <v>0.22654183231401842</v>
      </c>
      <c r="BM155" s="246">
        <f t="shared" si="568"/>
        <v>0.2428780090624835</v>
      </c>
      <c r="BN155" s="246">
        <f t="shared" si="568"/>
        <v>0.19765551432166159</v>
      </c>
      <c r="BO155" s="246">
        <f t="shared" si="568"/>
        <v>0.22163693525918002</v>
      </c>
      <c r="BP155" s="246">
        <f t="shared" si="568"/>
        <v>0.22154499843593548</v>
      </c>
      <c r="BQ155" s="246">
        <f t="shared" si="568"/>
        <v>0.18476500936297838</v>
      </c>
      <c r="BR155" s="246">
        <f t="shared" si="568"/>
        <v>0.1828900692970343</v>
      </c>
      <c r="BS155" s="246">
        <f t="shared" si="568"/>
        <v>0.2068299506890991</v>
      </c>
      <c r="BT155" s="246">
        <f t="shared" si="568"/>
        <v>0.22562391474875385</v>
      </c>
      <c r="BU155" s="246">
        <f t="shared" si="568"/>
        <v>0.17805530746036527</v>
      </c>
      <c r="BV155" s="246">
        <f t="shared" si="568"/>
        <v>0.17510676159511199</v>
      </c>
      <c r="BW155" s="246">
        <f t="shared" si="568"/>
        <v>0.22384052587111652</v>
      </c>
      <c r="BX155" s="246">
        <f t="shared" si="568"/>
        <v>0.23451465724126092</v>
      </c>
      <c r="BY155" s="246">
        <f t="shared" si="568"/>
        <v>0.21831783672323196</v>
      </c>
      <c r="BZ155" s="246">
        <f t="shared" ref="BZ155" si="569">(BZ27-BZ24-BZ19-BZ18-BZ22-BZ20-BZ26)/BZ3</f>
        <v>0.22743565710757141</v>
      </c>
      <c r="CA155" s="290">
        <f t="shared" si="568"/>
        <v>0.22241681718580733</v>
      </c>
      <c r="CB155" s="290">
        <f t="shared" si="568"/>
        <v>0.21836903113866263</v>
      </c>
      <c r="CC155" s="290">
        <f t="shared" si="568"/>
        <v>0.21419880968411237</v>
      </c>
      <c r="CD155" s="290">
        <f t="shared" si="568"/>
        <v>0.20991498398294928</v>
      </c>
    </row>
    <row r="156" spans="1:82" ht="13.5" customHeight="1">
      <c r="A156" s="260" t="s">
        <v>165</v>
      </c>
      <c r="B156" s="246">
        <f t="shared" ref="B156:AJ156" si="570">B3*4/AVERAGE(B73:B73)</f>
        <v>0.91853593551876189</v>
      </c>
      <c r="C156" s="246">
        <f t="shared" si="570"/>
        <v>0.98750811906707081</v>
      </c>
      <c r="D156" s="246">
        <f t="shared" si="570"/>
        <v>0.87370312544147399</v>
      </c>
      <c r="E156" s="246">
        <f t="shared" si="570"/>
        <v>0.92201323266775703</v>
      </c>
      <c r="F156" s="246">
        <f t="shared" si="570"/>
        <v>0.95172584772314828</v>
      </c>
      <c r="G156" s="246">
        <f t="shared" si="570"/>
        <v>0.9743197862561026</v>
      </c>
      <c r="H156" s="246">
        <f t="shared" si="570"/>
        <v>0.95246848033775477</v>
      </c>
      <c r="I156" s="246">
        <f t="shared" si="570"/>
        <v>0.95902504097577246</v>
      </c>
      <c r="J156" s="246">
        <f t="shared" si="570"/>
        <v>1.0207776388819441</v>
      </c>
      <c r="K156" s="246">
        <f t="shared" si="570"/>
        <v>0.97107155679231494</v>
      </c>
      <c r="L156" s="246">
        <f t="shared" si="570"/>
        <v>0.97442901642260449</v>
      </c>
      <c r="M156" s="246">
        <f t="shared" si="570"/>
        <v>1.0031739914474418</v>
      </c>
      <c r="N156" s="246">
        <f t="shared" si="570"/>
        <v>1.0075461676882853</v>
      </c>
      <c r="O156" s="246">
        <f t="shared" si="570"/>
        <v>1.0538726936935137</v>
      </c>
      <c r="P156" s="246">
        <f t="shared" si="570"/>
        <v>0.97314690022067496</v>
      </c>
      <c r="Q156" s="246">
        <f t="shared" si="570"/>
        <v>1.0365087188822768</v>
      </c>
      <c r="R156" s="246">
        <f t="shared" si="570"/>
        <v>0.95494003160744678</v>
      </c>
      <c r="S156" s="246">
        <f t="shared" si="570"/>
        <v>1.0161175032819589</v>
      </c>
      <c r="T156" s="246">
        <f t="shared" si="570"/>
        <v>0.75457080939073951</v>
      </c>
      <c r="U156" s="246">
        <f t="shared" si="570"/>
        <v>0.86849258405221297</v>
      </c>
      <c r="V156" s="246">
        <f t="shared" si="570"/>
        <v>0.94480546377679286</v>
      </c>
      <c r="W156" s="246">
        <f t="shared" si="570"/>
        <v>0.93914498536188462</v>
      </c>
      <c r="X156" s="246">
        <f t="shared" si="570"/>
        <v>0.89873769966324135</v>
      </c>
      <c r="Y156" s="246">
        <f t="shared" si="570"/>
        <v>0.96091150349793719</v>
      </c>
      <c r="Z156" s="246">
        <f t="shared" si="570"/>
        <v>1.0165335248799188</v>
      </c>
      <c r="AA156" s="246">
        <f t="shared" si="570"/>
        <v>1.095541602579631</v>
      </c>
      <c r="AB156" s="246">
        <f t="shared" si="570"/>
        <v>0.9310236901648633</v>
      </c>
      <c r="AC156" s="246">
        <f t="shared" si="570"/>
        <v>0.95568822325927494</v>
      </c>
      <c r="AD156" s="246">
        <f t="shared" si="570"/>
        <v>0.9843792547575545</v>
      </c>
      <c r="AE156" s="246">
        <f t="shared" si="570"/>
        <v>0.98676893282615474</v>
      </c>
      <c r="AF156" s="246">
        <f t="shared" si="570"/>
        <v>0.94013279309240594</v>
      </c>
      <c r="AG156" s="246">
        <f t="shared" si="570"/>
        <v>0.9919651215591766</v>
      </c>
      <c r="AH156" s="246">
        <f t="shared" si="570"/>
        <v>0.97734078570864225</v>
      </c>
      <c r="AI156" s="246">
        <f t="shared" si="570"/>
        <v>1.0639028988196619</v>
      </c>
      <c r="AJ156" s="246">
        <f t="shared" si="570"/>
        <v>0.99351699946693739</v>
      </c>
      <c r="AK156" s="246">
        <f t="shared" ref="AK156:AL156" si="571">AK3*4/AVERAGE(AK73:AK73)</f>
        <v>1.0570447235795843</v>
      </c>
      <c r="AL156" s="246">
        <f t="shared" si="571"/>
        <v>1.1498747860090339</v>
      </c>
      <c r="AM156" s="246">
        <f t="shared" ref="AM156:AN156" si="572">AM3*4/AVERAGE(AM73:AM73)</f>
        <v>1.1779499572616396</v>
      </c>
      <c r="AN156" s="246">
        <f t="shared" si="572"/>
        <v>1.1501974537793347</v>
      </c>
      <c r="AO156" s="246">
        <f t="shared" ref="AO156" si="573">AO3*4/AVERAGE(AO73:AO73)</f>
        <v>1.2322555117599141</v>
      </c>
      <c r="AP156" s="290">
        <f t="shared" ref="AP156:AS156" si="574">AP3/AVERAGE(AO73:AP73)</f>
        <v>0.28288984588681393</v>
      </c>
      <c r="AQ156" s="290">
        <f t="shared" si="574"/>
        <v>0.27144842857569562</v>
      </c>
      <c r="AR156" s="290">
        <f t="shared" si="574"/>
        <v>0.26894471310895246</v>
      </c>
      <c r="AS156" s="290">
        <f t="shared" si="574"/>
        <v>0.30256643009982997</v>
      </c>
      <c r="AU156" s="290">
        <v>0.31306549191098965</v>
      </c>
      <c r="AW156" s="246">
        <f>AW3/AVERAGE(A73:AW73)</f>
        <v>0.22111639573117831</v>
      </c>
      <c r="AX156" s="246">
        <f t="shared" ref="AX156:CD156" si="575">AX3/AVERAGE(AW73:AX73)</f>
        <v>0.74944498519721692</v>
      </c>
      <c r="AY156" s="246">
        <f t="shared" si="575"/>
        <v>0.74088435804624087</v>
      </c>
      <c r="AZ156" s="246">
        <f t="shared" si="575"/>
        <v>0.78376776579799878</v>
      </c>
      <c r="BA156" s="246">
        <f t="shared" si="575"/>
        <v>0.7299816182684753</v>
      </c>
      <c r="BB156" s="246">
        <f t="shared" si="575"/>
        <v>0.71640546410026873</v>
      </c>
      <c r="BC156" s="246">
        <f t="shared" si="575"/>
        <v>0.72468438135185143</v>
      </c>
      <c r="BD156" s="246">
        <f t="shared" si="575"/>
        <v>0.7980687686994693</v>
      </c>
      <c r="BE156" s="246">
        <f t="shared" si="575"/>
        <v>0.8745753708551528</v>
      </c>
      <c r="BF156" s="246">
        <f t="shared" si="575"/>
        <v>0.84726196628158856</v>
      </c>
      <c r="BG156" s="246">
        <f t="shared" si="575"/>
        <v>0.93701477267594235</v>
      </c>
      <c r="BH156" s="246">
        <f t="shared" si="575"/>
        <v>0.96731214858175707</v>
      </c>
      <c r="BI156" s="246">
        <f t="shared" si="575"/>
        <v>0.96084828866718275</v>
      </c>
      <c r="BJ156" s="246">
        <f t="shared" si="575"/>
        <v>0.96827391185555389</v>
      </c>
      <c r="BK156" s="246">
        <f t="shared" si="575"/>
        <v>0.97488005813895406</v>
      </c>
      <c r="BL156" s="246">
        <f t="shared" si="575"/>
        <v>1.047188719678795</v>
      </c>
      <c r="BM156" s="246">
        <f t="shared" si="575"/>
        <v>1.0308941914601608</v>
      </c>
      <c r="BN156" s="246">
        <f t="shared" si="575"/>
        <v>0.97883758725051806</v>
      </c>
      <c r="BO156" s="246">
        <f t="shared" si="575"/>
        <v>1.0067677175146472</v>
      </c>
      <c r="BP156" s="246">
        <f t="shared" si="575"/>
        <v>0.95417706505812094</v>
      </c>
      <c r="BQ156" s="246" t="e">
        <f t="shared" si="575"/>
        <v>#REF!</v>
      </c>
      <c r="BR156" s="246" t="e">
        <f t="shared" si="575"/>
        <v>#REF!</v>
      </c>
      <c r="BS156" s="246" t="e">
        <f t="shared" si="575"/>
        <v>#REF!</v>
      </c>
      <c r="BT156" s="246" t="e">
        <f t="shared" si="575"/>
        <v>#REF!</v>
      </c>
      <c r="BU156" s="246">
        <f t="shared" si="575"/>
        <v>0.91858306235374421</v>
      </c>
      <c r="BV156" s="246">
        <f t="shared" si="575"/>
        <v>0.99790016218883093</v>
      </c>
      <c r="BW156" s="246">
        <f t="shared" si="575"/>
        <v>0.99213251826194249</v>
      </c>
      <c r="BX156" s="246">
        <f t="shared" si="575"/>
        <v>1.0333595901421517</v>
      </c>
      <c r="BY156" s="246">
        <f t="shared" si="575"/>
        <v>1.1329947290231261</v>
      </c>
      <c r="BZ156" s="246">
        <f t="shared" si="575"/>
        <v>1.2485659311259762</v>
      </c>
      <c r="CA156" s="290">
        <f t="shared" si="575"/>
        <v>1.2526263532768855</v>
      </c>
      <c r="CB156" s="290">
        <f t="shared" si="575"/>
        <v>1.2250878447457683</v>
      </c>
      <c r="CC156" s="290">
        <f t="shared" si="575"/>
        <v>1.2000241364238651</v>
      </c>
      <c r="CD156" s="290">
        <f t="shared" si="575"/>
        <v>1.1763880301630836</v>
      </c>
    </row>
    <row r="157" spans="1:82" ht="13.5" customHeight="1">
      <c r="A157" s="260" t="s">
        <v>166</v>
      </c>
      <c r="B157" s="246">
        <f t="shared" ref="B157:AJ157" si="576">-(B18+B19+B22+B20+B26)*4/AVERAGE(B73:B73)</f>
        <v>2.4196670680730593E-2</v>
      </c>
      <c r="C157" s="246">
        <f t="shared" si="576"/>
        <v>2.372518940995506E-2</v>
      </c>
      <c r="D157" s="246">
        <f t="shared" si="576"/>
        <v>2.2841244420812017E-2</v>
      </c>
      <c r="E157" s="246">
        <f t="shared" si="576"/>
        <v>2.7598965913992038E-2</v>
      </c>
      <c r="F157" s="246">
        <f t="shared" si="576"/>
        <v>2.3320534243349109E-2</v>
      </c>
      <c r="G157" s="246">
        <f t="shared" si="576"/>
        <v>3.0918476895708962E-2</v>
      </c>
      <c r="H157" s="246">
        <f t="shared" si="576"/>
        <v>3.2232543648354844E-2</v>
      </c>
      <c r="I157" s="246">
        <f t="shared" si="576"/>
        <v>3.6389536231530399E-2</v>
      </c>
      <c r="J157" s="246">
        <f t="shared" si="576"/>
        <v>2.9535276763838193E-2</v>
      </c>
      <c r="K157" s="246">
        <f t="shared" si="576"/>
        <v>4.1567090567094907E-2</v>
      </c>
      <c r="L157" s="246">
        <f t="shared" si="576"/>
        <v>3.9236397961162114E-2</v>
      </c>
      <c r="M157" s="246">
        <f t="shared" si="576"/>
        <v>3.4896165448960771E-2</v>
      </c>
      <c r="N157" s="246">
        <f t="shared" si="576"/>
        <v>3.4018084785915649E-2</v>
      </c>
      <c r="O157" s="246">
        <f t="shared" si="576"/>
        <v>3.5345857496017832E-2</v>
      </c>
      <c r="P157" s="246">
        <f t="shared" si="576"/>
        <v>3.679197071464118E-2</v>
      </c>
      <c r="Q157" s="246">
        <f t="shared" si="576"/>
        <v>3.8178662924384932E-2</v>
      </c>
      <c r="R157" s="246">
        <f t="shared" si="576"/>
        <v>3.2952846099502199E-2</v>
      </c>
      <c r="S157" s="246">
        <f t="shared" si="576"/>
        <v>2.7281239166220488E-2</v>
      </c>
      <c r="T157" s="246">
        <f t="shared" si="576"/>
        <v>2.6662371976096874E-2</v>
      </c>
      <c r="U157" s="246">
        <f t="shared" si="576"/>
        <v>2.9466817036201316E-2</v>
      </c>
      <c r="V157" s="246">
        <f t="shared" si="576"/>
        <v>3.1489252682667175E-2</v>
      </c>
      <c r="W157" s="246">
        <f t="shared" si="576"/>
        <v>3.5747413954303704E-2</v>
      </c>
      <c r="X157" s="246">
        <f t="shared" si="576"/>
        <v>3.4882002988492665E-2</v>
      </c>
      <c r="Y157" s="246">
        <f t="shared" si="576"/>
        <v>3.4090113538482479E-2</v>
      </c>
      <c r="Z157" s="246">
        <f t="shared" si="576"/>
        <v>3.3868335908385859E-2</v>
      </c>
      <c r="AA157" s="246">
        <f t="shared" si="576"/>
        <v>3.6486190706239048E-2</v>
      </c>
      <c r="AB157" s="246">
        <f t="shared" si="576"/>
        <v>3.089755733993273E-2</v>
      </c>
      <c r="AC157" s="246">
        <f t="shared" si="576"/>
        <v>3.1260676473301961E-2</v>
      </c>
      <c r="AD157" s="246">
        <f t="shared" si="576"/>
        <v>3.0179808143037445E-2</v>
      </c>
      <c r="AE157" s="246">
        <f t="shared" si="576"/>
        <v>2.74330972161318E-2</v>
      </c>
      <c r="AF157" s="246">
        <f t="shared" si="576"/>
        <v>3.0713062458392965E-2</v>
      </c>
      <c r="AG157" s="246">
        <f t="shared" si="576"/>
        <v>2.4723787143823568E-2</v>
      </c>
      <c r="AH157" s="246">
        <f t="shared" si="576"/>
        <v>2.236258332701509E-2</v>
      </c>
      <c r="AI157" s="246">
        <f t="shared" si="576"/>
        <v>2.6883815893297379E-2</v>
      </c>
      <c r="AJ157" s="246">
        <f t="shared" si="576"/>
        <v>2.166297067612534E-2</v>
      </c>
      <c r="AK157" s="246">
        <f t="shared" ref="AK157:AL157" si="577">-(AK18+AK19+AK22+AK20+AK26)*4/AVERAGE(AK73:AK73)</f>
        <v>2.6862307711689969E-2</v>
      </c>
      <c r="AL157" s="246">
        <f t="shared" si="577"/>
        <v>2.4505059453214718E-2</v>
      </c>
      <c r="AM157" s="246">
        <f t="shared" ref="AM157:AN157" si="578">-(AM18+AM19+AM22+AM20+AM26)*4/AVERAGE(AM73:AM73)</f>
        <v>2.9483827896153121E-2</v>
      </c>
      <c r="AN157" s="246">
        <f t="shared" si="578"/>
        <v>3.4652850402218514E-2</v>
      </c>
      <c r="AO157" s="246">
        <f t="shared" ref="AO157" si="579">-(AO18+AO19+AO22+AO20+AO26)*4/AVERAGE(AO73:AO73)</f>
        <v>3.4960369604942504E-2</v>
      </c>
      <c r="AP157" s="290">
        <f t="shared" ref="AP157:AS157" si="580">-(AP18+AP19+AP22+AP20+AP26)/AVERAGE(AO73:AP73)</f>
        <v>6.6238211683789022E-3</v>
      </c>
      <c r="AQ157" s="290">
        <f t="shared" si="580"/>
        <v>4.6625670770394124E-3</v>
      </c>
      <c r="AR157" s="290">
        <f t="shared" si="580"/>
        <v>5.4041159492572146E-3</v>
      </c>
      <c r="AS157" s="290">
        <f t="shared" si="580"/>
        <v>5.9736159080917952E-3</v>
      </c>
      <c r="AU157" s="290">
        <v>6.7821876251580966E-3</v>
      </c>
      <c r="AW157" s="246">
        <f>-(AW18+AW19+AW22+AW20+AW26)/AVERAGE(A73:AW73)</f>
        <v>-1.0367810445270227E-2</v>
      </c>
      <c r="AX157" s="246">
        <f t="shared" ref="AX157:CD157" si="581">-(AX18+AX19+AX22+AX20+AX26)/AVERAGE(AW73:AX73)</f>
        <v>-1.3933279553816E-2</v>
      </c>
      <c r="AY157" s="246">
        <f t="shared" si="581"/>
        <v>-5.6099669040801155E-3</v>
      </c>
      <c r="AZ157" s="246">
        <f t="shared" si="581"/>
        <v>9.1279253742124703E-3</v>
      </c>
      <c r="BA157" s="246">
        <f t="shared" si="581"/>
        <v>1.4188877614311979E-2</v>
      </c>
      <c r="BB157" s="246">
        <f t="shared" si="581"/>
        <v>1.7555005825119482E-2</v>
      </c>
      <c r="BC157" s="246">
        <f t="shared" si="581"/>
        <v>1.8561144905248982E-2</v>
      </c>
      <c r="BD157" s="246">
        <f t="shared" si="581"/>
        <v>1.7398938469739739E-2</v>
      </c>
      <c r="BE157" s="246">
        <f t="shared" si="581"/>
        <v>1.618487161536452E-2</v>
      </c>
      <c r="BF157" s="246">
        <f t="shared" si="581"/>
        <v>1.5928226566800881E-2</v>
      </c>
      <c r="BG157" s="246">
        <f t="shared" si="581"/>
        <v>3.5311027403524237E-2</v>
      </c>
      <c r="BH157" s="246">
        <f t="shared" si="581"/>
        <v>2.1191339775039056E-3</v>
      </c>
      <c r="BI157" s="246">
        <f t="shared" si="581"/>
        <v>-2.4186708271699826E-3</v>
      </c>
      <c r="BJ157" s="246">
        <f t="shared" si="581"/>
        <v>-2.1408350084480216E-3</v>
      </c>
      <c r="BK157" s="246">
        <f t="shared" si="581"/>
        <v>5.263737162214845E-3</v>
      </c>
      <c r="BL157" s="246">
        <f t="shared" si="581"/>
        <v>2.5332215111663565E-2</v>
      </c>
      <c r="BM157" s="246">
        <f t="shared" si="581"/>
        <v>2.1539363619658518E-2</v>
      </c>
      <c r="BN157" s="246">
        <f t="shared" si="581"/>
        <v>2.2838571709110276E-2</v>
      </c>
      <c r="BO157" s="246">
        <f t="shared" si="581"/>
        <v>2.7159929873132906E-2</v>
      </c>
      <c r="BP157" s="246">
        <f t="shared" si="581"/>
        <v>2.5442709577796686E-2</v>
      </c>
      <c r="BQ157" s="246" t="e">
        <f t="shared" si="581"/>
        <v>#REF!</v>
      </c>
      <c r="BR157" s="246" t="e">
        <f t="shared" si="581"/>
        <v>#REF!</v>
      </c>
      <c r="BS157" s="246" t="e">
        <f t="shared" si="581"/>
        <v>#REF!</v>
      </c>
      <c r="BT157" s="246" t="e">
        <f t="shared" si="581"/>
        <v>#REF!</v>
      </c>
      <c r="BU157" s="246">
        <f t="shared" si="581"/>
        <v>3.3414068015107927E-2</v>
      </c>
      <c r="BV157" s="246">
        <f t="shared" si="581"/>
        <v>3.3059610637917555E-2</v>
      </c>
      <c r="BW157" s="246">
        <f t="shared" si="581"/>
        <v>2.8735037252717175E-2</v>
      </c>
      <c r="BX157" s="246">
        <f t="shared" si="581"/>
        <v>2.4668454068769954E-2</v>
      </c>
      <c r="BY157" s="246">
        <f t="shared" si="581"/>
        <v>2.9665999380024694E-2</v>
      </c>
      <c r="BZ157" s="246">
        <f t="shared" si="581"/>
        <v>2.5082599878806511E-2</v>
      </c>
      <c r="CA157" s="290">
        <f t="shared" si="581"/>
        <v>2.1695703044645843E-2</v>
      </c>
      <c r="CB157" s="290">
        <f t="shared" si="581"/>
        <v>2.0282758115022861E-2</v>
      </c>
      <c r="CC157" s="290">
        <f t="shared" si="581"/>
        <v>1.8864568612874704E-2</v>
      </c>
      <c r="CD157" s="290">
        <f t="shared" si="581"/>
        <v>1.5712013873711447E-2</v>
      </c>
    </row>
    <row r="158" spans="1:82" ht="13.5" customHeight="1">
      <c r="A158" s="319" t="s">
        <v>167</v>
      </c>
      <c r="B158" s="251">
        <f>B155*B156-B157</f>
        <v>0.16811891030319306</v>
      </c>
      <c r="C158" s="251">
        <f t="shared" ref="C158:M158" si="582">C155*C156-C157</f>
        <v>0.19808815626067947</v>
      </c>
      <c r="D158" s="251">
        <f t="shared" si="582"/>
        <v>0.18690034396762972</v>
      </c>
      <c r="E158" s="251">
        <f t="shared" si="582"/>
        <v>0.16857541946077914</v>
      </c>
      <c r="F158" s="251">
        <f t="shared" si="582"/>
        <v>0.15593231755462389</v>
      </c>
      <c r="G158" s="251">
        <f t="shared" si="582"/>
        <v>0.1513433011581142</v>
      </c>
      <c r="H158" s="251">
        <f t="shared" si="582"/>
        <v>0.12992517942682524</v>
      </c>
      <c r="I158" s="251">
        <f>I155*I156-I157</f>
        <v>0.14567436157102936</v>
      </c>
      <c r="J158" s="251">
        <f t="shared" si="582"/>
        <v>0.172533226661333</v>
      </c>
      <c r="K158" s="251">
        <f t="shared" si="582"/>
        <v>0.14461876141764862</v>
      </c>
      <c r="L158" s="251">
        <f t="shared" si="582"/>
        <v>0.12765246566256433</v>
      </c>
      <c r="M158" s="251">
        <f t="shared" si="582"/>
        <v>0.13572320882199015</v>
      </c>
      <c r="N158" s="251">
        <f t="shared" ref="N158:AH158" si="583">N155*N156-N157</f>
        <v>0.15443586059344599</v>
      </c>
      <c r="O158" s="251">
        <f t="shared" si="583"/>
        <v>0.17910345740771833</v>
      </c>
      <c r="P158" s="251">
        <f t="shared" si="583"/>
        <v>0.1648799050171196</v>
      </c>
      <c r="Q158" s="251">
        <f t="shared" si="583"/>
        <v>0.2003312922159764</v>
      </c>
      <c r="R158" s="251">
        <f t="shared" si="583"/>
        <v>0.18769482070736973</v>
      </c>
      <c r="S158" s="251">
        <f t="shared" si="583"/>
        <v>0.20499832919016281</v>
      </c>
      <c r="T158" s="251">
        <f t="shared" si="583"/>
        <v>0.13380830598323978</v>
      </c>
      <c r="U158" s="251">
        <f t="shared" si="583"/>
        <v>0.16975694891263898</v>
      </c>
      <c r="V158" s="251">
        <f t="shared" si="583"/>
        <v>0.18241315585956258</v>
      </c>
      <c r="W158" s="251">
        <f t="shared" si="583"/>
        <v>0.14311736177752599</v>
      </c>
      <c r="X158" s="251">
        <f t="shared" si="583"/>
        <v>0.10276645034206389</v>
      </c>
      <c r="Y158" s="251">
        <f t="shared" si="583"/>
        <v>0.10024664420128046</v>
      </c>
      <c r="Z158" s="251">
        <f t="shared" si="583"/>
        <v>0.1282390915307636</v>
      </c>
      <c r="AA158" s="251">
        <f t="shared" si="583"/>
        <v>0.14678221041943423</v>
      </c>
      <c r="AB158" s="251">
        <f t="shared" si="583"/>
        <v>0.13305270180615245</v>
      </c>
      <c r="AC158" s="251">
        <f t="shared" si="583"/>
        <v>0.15736351204001753</v>
      </c>
      <c r="AD158" s="251">
        <f t="shared" si="583"/>
        <v>0.17195643070141511</v>
      </c>
      <c r="AE158" s="251">
        <f t="shared" si="583"/>
        <v>0.19053455397127159</v>
      </c>
      <c r="AF158" s="251">
        <f t="shared" si="583"/>
        <v>0.1876548249063219</v>
      </c>
      <c r="AG158" s="251">
        <f t="shared" si="583"/>
        <v>0.21098351294992471</v>
      </c>
      <c r="AH158" s="251">
        <f t="shared" si="583"/>
        <v>0.21862316915518498</v>
      </c>
      <c r="AI158" s="251">
        <f t="shared" ref="AI158:AK158" si="584">AI155*AI156-AI157</f>
        <v>0.24070046828403027</v>
      </c>
      <c r="AJ158" s="251">
        <f t="shared" si="584"/>
        <v>0.20226247942483028</v>
      </c>
      <c r="AK158" s="251">
        <f t="shared" si="584"/>
        <v>0.19912857643643769</v>
      </c>
      <c r="AL158" s="251">
        <f t="shared" ref="AL158:AN158" si="585">AL155*AL156-AL157</f>
        <v>0.22290787813854288</v>
      </c>
      <c r="AM158" s="251">
        <f t="shared" si="585"/>
        <v>0.22555497967356092</v>
      </c>
      <c r="AN158" s="251">
        <f t="shared" si="585"/>
        <v>0.20983375508312127</v>
      </c>
      <c r="AO158" s="251">
        <f t="shared" ref="AO158" si="586">AO155*AO156-AO157</f>
        <v>0.24688198203955028</v>
      </c>
      <c r="AP158" s="291">
        <f t="shared" ref="AP158:AS158" si="587">AP155*AP156-AP157</f>
        <v>5.7360980940066301E-2</v>
      </c>
      <c r="AQ158" s="291">
        <f t="shared" si="587"/>
        <v>5.8425745967420589E-2</v>
      </c>
      <c r="AR158" s="291">
        <f t="shared" si="587"/>
        <v>5.2579283160796325E-2</v>
      </c>
      <c r="AS158" s="291">
        <f t="shared" si="587"/>
        <v>6.5121705315828241E-2</v>
      </c>
      <c r="AU158" s="291">
        <v>6.2725540910586991E-2</v>
      </c>
      <c r="AW158" s="251">
        <f t="shared" ref="AW158:BO158" si="588">AW155*AW156-AW157</f>
        <v>7.2231566924878407E-2</v>
      </c>
      <c r="AX158" s="251">
        <f t="shared" si="588"/>
        <v>0.2058580401857214</v>
      </c>
      <c r="AY158" s="251">
        <f t="shared" si="588"/>
        <v>0.24934077813676062</v>
      </c>
      <c r="AZ158" s="251">
        <f t="shared" si="588"/>
        <v>0.23907104269408727</v>
      </c>
      <c r="BA158" s="251">
        <f t="shared" si="588"/>
        <v>0.21029199535544707</v>
      </c>
      <c r="BB158" s="251">
        <f t="shared" si="588"/>
        <v>0.16555352076514732</v>
      </c>
      <c r="BC158" s="251">
        <f t="shared" si="588"/>
        <v>0.14624969474031616</v>
      </c>
      <c r="BD158" s="251">
        <f t="shared" si="588"/>
        <v>0.1742696915677171</v>
      </c>
      <c r="BE158" s="251">
        <f t="shared" si="588"/>
        <v>0.1608371691371778</v>
      </c>
      <c r="BF158" s="251">
        <f t="shared" si="588"/>
        <v>0.21727730050221161</v>
      </c>
      <c r="BG158" s="251">
        <f t="shared" si="588"/>
        <v>0.21019600169053437</v>
      </c>
      <c r="BH158" s="251">
        <f t="shared" si="588"/>
        <v>0.24760645390855288</v>
      </c>
      <c r="BI158" s="251">
        <f t="shared" si="588"/>
        <v>0.26312945571815749</v>
      </c>
      <c r="BJ158" s="251">
        <f t="shared" si="588"/>
        <v>0.25647791095900541</v>
      </c>
      <c r="BK158" s="251">
        <f t="shared" si="588"/>
        <v>0.20564543450721096</v>
      </c>
      <c r="BL158" s="251">
        <f t="shared" si="588"/>
        <v>0.21189983622294167</v>
      </c>
      <c r="BM158" s="251">
        <f t="shared" si="588"/>
        <v>0.22884216515626399</v>
      </c>
      <c r="BN158" s="251">
        <f t="shared" si="588"/>
        <v>0.17063407503626518</v>
      </c>
      <c r="BO158" s="251">
        <f t="shared" si="588"/>
        <v>0.1959769815546934</v>
      </c>
      <c r="BP158" s="251">
        <f t="shared" ref="BP158:BU158" si="589">BP155*BP156-BP157</f>
        <v>0.18595044680811024</v>
      </c>
      <c r="BQ158" s="251" t="e">
        <f t="shared" si="589"/>
        <v>#REF!</v>
      </c>
      <c r="BR158" s="251" t="e">
        <f t="shared" si="589"/>
        <v>#REF!</v>
      </c>
      <c r="BS158" s="251" t="e">
        <f t="shared" si="589"/>
        <v>#REF!</v>
      </c>
      <c r="BT158" s="251" t="e">
        <f t="shared" si="589"/>
        <v>#REF!</v>
      </c>
      <c r="BU158" s="251">
        <f t="shared" si="589"/>
        <v>0.13014452158017187</v>
      </c>
      <c r="BV158" s="251">
        <f t="shared" ref="BV158:CD158" si="590">BV155*BV156-BV157</f>
        <v>0.14167945515820562</v>
      </c>
      <c r="BW158" s="251">
        <f t="shared" si="590"/>
        <v>0.19334442736887114</v>
      </c>
      <c r="BX158" s="251">
        <f>BX155*BX156-BX157</f>
        <v>0.21766951602038664</v>
      </c>
      <c r="BY158" s="251">
        <f>BY155*BY156-BY157</f>
        <v>0.21768695887912859</v>
      </c>
      <c r="BZ158" s="251">
        <f>BZ155*BZ156-BZ157</f>
        <v>0.25888581310895664</v>
      </c>
      <c r="CA158" s="291">
        <f t="shared" si="590"/>
        <v>0.2569094635742637</v>
      </c>
      <c r="CB158" s="291">
        <f t="shared" si="590"/>
        <v>0.24723848760186287</v>
      </c>
      <c r="CC158" s="291">
        <f t="shared" si="590"/>
        <v>0.2381791730013221</v>
      </c>
      <c r="CD158" s="291">
        <f t="shared" si="590"/>
        <v>0.23122946063570549</v>
      </c>
    </row>
    <row r="159" spans="1:82" ht="13.5" customHeight="1">
      <c r="A159" s="260" t="s">
        <v>168</v>
      </c>
      <c r="B159" s="246">
        <f t="shared" ref="B159:AJ159" si="591">AVERAGE(B73:B73)/AVERAGE(B88:B88)</f>
        <v>12.59583800447966</v>
      </c>
      <c r="C159" s="246">
        <f t="shared" si="591"/>
        <v>8.1549722333673742</v>
      </c>
      <c r="D159" s="246">
        <f t="shared" si="591"/>
        <v>6.9603827271096366</v>
      </c>
      <c r="E159" s="246">
        <f t="shared" si="591"/>
        <v>5.8146933688684532</v>
      </c>
      <c r="F159" s="246">
        <f t="shared" si="591"/>
        <v>13.5527012907919</v>
      </c>
      <c r="G159" s="246">
        <f t="shared" si="591"/>
        <v>9.7585075625527704</v>
      </c>
      <c r="H159" s="246">
        <f t="shared" si="591"/>
        <v>8.0211859329458939</v>
      </c>
      <c r="I159" s="246">
        <f t="shared" si="591"/>
        <v>6.4596126431357401</v>
      </c>
      <c r="J159" s="246">
        <f t="shared" si="591"/>
        <v>18.814911751299586</v>
      </c>
      <c r="K159" s="246">
        <f t="shared" si="591"/>
        <v>13.534296746950789</v>
      </c>
      <c r="L159" s="246">
        <f t="shared" si="591"/>
        <v>9.9587961356010641</v>
      </c>
      <c r="M159" s="246">
        <f t="shared" si="591"/>
        <v>7.4099676987876872</v>
      </c>
      <c r="N159" s="246">
        <f t="shared" si="591"/>
        <v>26.468368552025382</v>
      </c>
      <c r="O159" s="246">
        <f t="shared" si="591"/>
        <v>14.561374035992777</v>
      </c>
      <c r="P159" s="246">
        <f t="shared" si="591"/>
        <v>10.704531255125595</v>
      </c>
      <c r="Q159" s="246">
        <f t="shared" si="591"/>
        <v>7.887543250958216</v>
      </c>
      <c r="R159" s="246">
        <f t="shared" si="591"/>
        <v>23.000265807816252</v>
      </c>
      <c r="S159" s="246">
        <f t="shared" si="591"/>
        <v>13.766397997667157</v>
      </c>
      <c r="T159" s="246">
        <f t="shared" si="591"/>
        <v>11.374022133143798</v>
      </c>
      <c r="U159" s="246">
        <f t="shared" si="591"/>
        <v>9.1779283811523911</v>
      </c>
      <c r="V159" s="246">
        <f t="shared" si="591"/>
        <v>19.455719828173461</v>
      </c>
      <c r="W159" s="246">
        <f t="shared" si="591"/>
        <v>12.422548654193823</v>
      </c>
      <c r="X159" s="246">
        <f t="shared" si="591"/>
        <v>9.9196508672909829</v>
      </c>
      <c r="Y159" s="246">
        <f t="shared" si="591"/>
        <v>8.5232633177307608</v>
      </c>
      <c r="Z159" s="246">
        <f t="shared" si="591"/>
        <v>31.218207125086838</v>
      </c>
      <c r="AA159" s="246">
        <f t="shared" si="591"/>
        <v>15.649373226068397</v>
      </c>
      <c r="AB159" s="246">
        <f t="shared" si="591"/>
        <v>14.870062042170497</v>
      </c>
      <c r="AC159" s="246">
        <f t="shared" si="591"/>
        <v>10.649657380978429</v>
      </c>
      <c r="AD159" s="246">
        <f t="shared" si="591"/>
        <v>39.204053135091449</v>
      </c>
      <c r="AE159" s="246">
        <f t="shared" si="591"/>
        <v>17.469368238659111</v>
      </c>
      <c r="AF159" s="246">
        <f t="shared" si="591"/>
        <v>10.426482387018588</v>
      </c>
      <c r="AG159" s="246">
        <f t="shared" si="591"/>
        <v>7.7904494869860628</v>
      </c>
      <c r="AH159" s="246">
        <f t="shared" si="591"/>
        <v>17.679497693779535</v>
      </c>
      <c r="AI159" s="246">
        <f t="shared" si="591"/>
        <v>9.5928423006043673</v>
      </c>
      <c r="AJ159" s="246">
        <f t="shared" si="591"/>
        <v>8.1357640823483148</v>
      </c>
      <c r="AK159" s="246">
        <f t="shared" ref="AK159:AL159" si="592">AVERAGE(AK73:AK73)/AVERAGE(AK88:AK88)</f>
        <v>7.0352420629584564</v>
      </c>
      <c r="AL159" s="246">
        <f t="shared" si="592"/>
        <v>17.94524167888623</v>
      </c>
      <c r="AM159" s="246">
        <f t="shared" ref="AM159:AN159" si="593">AVERAGE(AM73:AM73)/AVERAGE(AM88:AM88)</f>
        <v>11.428749363413925</v>
      </c>
      <c r="AN159" s="246">
        <f t="shared" si="593"/>
        <v>8.779581912756667</v>
      </c>
      <c r="AO159" s="246">
        <f t="shared" ref="AO159" si="594">AVERAGE(AO73:AO73)/AVERAGE(AO88:AO88)</f>
        <v>6.3061012803416086</v>
      </c>
      <c r="AP159" s="290">
        <f t="shared" ref="AP159:AS159" si="595">AVERAGE(AO73:AP73)/AVERAGE(AO88:AP88)</f>
        <v>6.0652441830210195</v>
      </c>
      <c r="AQ159" s="290">
        <f t="shared" si="595"/>
        <v>5.6305858516163871</v>
      </c>
      <c r="AR159" s="290">
        <f t="shared" si="595"/>
        <v>5.2458311204450059</v>
      </c>
      <c r="AS159" s="290">
        <f t="shared" si="595"/>
        <v>5.1757179972271858</v>
      </c>
      <c r="AU159" s="290">
        <v>9.4733025974251071</v>
      </c>
      <c r="AW159" s="246">
        <f>AVERAGE(A73:AW73)/AVERAGE(A88:AW88)</f>
        <v>9.5206875581921722</v>
      </c>
      <c r="AX159" s="246">
        <f t="shared" ref="AX159:CD159" si="596">AVERAGE(AW73:AX73)/AVERAGE(AW88:AX88)</f>
        <v>1.4292955515907222</v>
      </c>
      <c r="AY159" s="246">
        <f t="shared" si="596"/>
        <v>1.5012530512233386</v>
      </c>
      <c r="AZ159" s="246">
        <f t="shared" si="596"/>
        <v>1.6839514617821776</v>
      </c>
      <c r="BA159" s="246">
        <f t="shared" si="596"/>
        <v>1.8699484476494452</v>
      </c>
      <c r="BB159" s="246">
        <f t="shared" si="596"/>
        <v>1.9285434920310105</v>
      </c>
      <c r="BC159" s="246">
        <f t="shared" si="596"/>
        <v>1.9873317322977559</v>
      </c>
      <c r="BD159" s="246">
        <f t="shared" si="596"/>
        <v>2.0385555601252081</v>
      </c>
      <c r="BE159" s="246">
        <f t="shared" si="596"/>
        <v>2.0698938498005579</v>
      </c>
      <c r="BF159" s="246">
        <f t="shared" si="596"/>
        <v>2.2236767307609329</v>
      </c>
      <c r="BG159" s="246">
        <f t="shared" si="596"/>
        <v>2.4453811923339748</v>
      </c>
      <c r="BH159" s="246">
        <f t="shared" si="596"/>
        <v>2.6364258168382171</v>
      </c>
      <c r="BI159" s="246">
        <f t="shared" si="596"/>
        <v>2.9658434944759193</v>
      </c>
      <c r="BJ159" s="246">
        <f t="shared" si="596"/>
        <v>3.2015591926066156</v>
      </c>
      <c r="BK159" s="246">
        <f t="shared" si="596"/>
        <v>3.23621403159478</v>
      </c>
      <c r="BL159" s="246">
        <f t="shared" si="596"/>
        <v>3.2323552376199705</v>
      </c>
      <c r="BM159" s="246">
        <f t="shared" si="596"/>
        <v>3.3448559622967604</v>
      </c>
      <c r="BN159" s="246">
        <f t="shared" si="596"/>
        <v>3.8317456607162304</v>
      </c>
      <c r="BO159" s="246">
        <f t="shared" si="596"/>
        <v>4.6798861983913582</v>
      </c>
      <c r="BP159" s="246">
        <f t="shared" si="596"/>
        <v>5.4412669214128382</v>
      </c>
      <c r="BQ159" s="246" t="e">
        <f t="shared" si="596"/>
        <v>#REF!</v>
      </c>
      <c r="BR159" s="246" t="e">
        <f t="shared" si="596"/>
        <v>#REF!</v>
      </c>
      <c r="BS159" s="246" t="e">
        <f t="shared" si="596"/>
        <v>#REF!</v>
      </c>
      <c r="BT159" s="246" t="e">
        <f t="shared" si="596"/>
        <v>#REF!</v>
      </c>
      <c r="BU159" s="246">
        <f t="shared" si="596"/>
        <v>8.8530252875827617</v>
      </c>
      <c r="BV159" s="246">
        <f t="shared" si="596"/>
        <v>9.517613729747497</v>
      </c>
      <c r="BW159" s="246">
        <f t="shared" si="596"/>
        <v>8.9934788214224461</v>
      </c>
      <c r="BX159" s="246">
        <f t="shared" si="596"/>
        <v>7.4000440254596693</v>
      </c>
      <c r="BY159" s="246">
        <f t="shared" si="596"/>
        <v>6.6749182183810634</v>
      </c>
      <c r="BZ159" s="246">
        <f t="shared" si="596"/>
        <v>5.7414926028312712</v>
      </c>
      <c r="CA159" s="290">
        <f t="shared" si="596"/>
        <v>4.9124742754896769</v>
      </c>
      <c r="CB159" s="290">
        <f t="shared" si="596"/>
        <v>4.3601275377168802</v>
      </c>
      <c r="CC159" s="290">
        <f t="shared" si="596"/>
        <v>3.9482657673171513</v>
      </c>
      <c r="CD159" s="290">
        <f t="shared" si="596"/>
        <v>3.6262002796141091</v>
      </c>
    </row>
    <row r="160" spans="1:82" ht="13.5" customHeight="1">
      <c r="A160" s="260" t="s">
        <v>169</v>
      </c>
      <c r="B160" s="246">
        <f>B159*B158</f>
        <v>2.1175985596686662</v>
      </c>
      <c r="C160" s="246">
        <f t="shared" ref="C160:M160" si="597">C159*C158</f>
        <v>1.6154034140647786</v>
      </c>
      <c r="D160" s="246">
        <f t="shared" si="597"/>
        <v>1.3008979258431397</v>
      </c>
      <c r="E160" s="246">
        <f t="shared" si="597"/>
        <v>0.9802143736928105</v>
      </c>
      <c r="F160" s="246">
        <f t="shared" si="597"/>
        <v>2.1133041213987238</v>
      </c>
      <c r="G160" s="246">
        <f t="shared" si="597"/>
        <v>1.4768847488931589</v>
      </c>
      <c r="H160" s="246">
        <f t="shared" si="597"/>
        <v>1.042154021553922</v>
      </c>
      <c r="I160" s="246">
        <f>I159*I158</f>
        <v>0.94099994778494844</v>
      </c>
      <c r="J160" s="246">
        <f t="shared" si="597"/>
        <v>3.2461974337999493</v>
      </c>
      <c r="K160" s="246">
        <f t="shared" si="597"/>
        <v>1.9573132322029341</v>
      </c>
      <c r="L160" s="246">
        <f t="shared" si="597"/>
        <v>1.2712648817402932</v>
      </c>
      <c r="M160" s="246">
        <f t="shared" si="597"/>
        <v>1.0057045933467632</v>
      </c>
      <c r="N160" s="246">
        <f t="shared" ref="N160:AH160" si="598">N159*N158</f>
        <v>4.0876652758365415</v>
      </c>
      <c r="O160" s="246">
        <f t="shared" si="598"/>
        <v>2.6079924344532879</v>
      </c>
      <c r="P160" s="246">
        <f t="shared" si="598"/>
        <v>1.764962096597896</v>
      </c>
      <c r="Q160" s="246">
        <f t="shared" si="598"/>
        <v>1.5801217318738627</v>
      </c>
      <c r="R160" s="246">
        <f t="shared" si="598"/>
        <v>4.3170307670199177</v>
      </c>
      <c r="S160" s="246">
        <f t="shared" si="598"/>
        <v>2.8220885884885702</v>
      </c>
      <c r="T160" s="246">
        <f t="shared" si="598"/>
        <v>1.521938633851847</v>
      </c>
      <c r="U160" s="246">
        <f t="shared" si="598"/>
        <v>1.5580171193231458</v>
      </c>
      <c r="V160" s="246">
        <f t="shared" si="598"/>
        <v>3.5489792533765878</v>
      </c>
      <c r="W160" s="246">
        <f t="shared" si="598"/>
        <v>1.777882389941176</v>
      </c>
      <c r="X160" s="246">
        <f t="shared" si="598"/>
        <v>1.0194073082640698</v>
      </c>
      <c r="Y160" s="246">
        <f t="shared" si="598"/>
        <v>0.85442854524638079</v>
      </c>
      <c r="Z160" s="246">
        <f t="shared" si="598"/>
        <v>4.003394520940347</v>
      </c>
      <c r="AA160" s="246">
        <f t="shared" si="598"/>
        <v>2.2970495938010318</v>
      </c>
      <c r="AB160" s="246">
        <f t="shared" si="598"/>
        <v>1.9785019307358975</v>
      </c>
      <c r="AC160" s="246">
        <f t="shared" si="598"/>
        <v>1.6758674874936605</v>
      </c>
      <c r="AD160" s="246">
        <f t="shared" si="598"/>
        <v>6.7413890461389485</v>
      </c>
      <c r="AE160" s="246">
        <f t="shared" si="598"/>
        <v>3.3285182855128119</v>
      </c>
      <c r="AF160" s="246">
        <f t="shared" si="598"/>
        <v>1.9565797267248224</v>
      </c>
      <c r="AG160" s="246">
        <f t="shared" si="598"/>
        <v>1.6436564002232583</v>
      </c>
      <c r="AH160" s="246">
        <f t="shared" si="598"/>
        <v>3.8651478148858658</v>
      </c>
      <c r="AI160" s="246">
        <f t="shared" ref="AI160:AK160" si="599">AI159*AI158</f>
        <v>2.3090016339303254</v>
      </c>
      <c r="AJ160" s="246">
        <f t="shared" si="599"/>
        <v>1.6455598153112492</v>
      </c>
      <c r="AK160" s="246">
        <f t="shared" si="599"/>
        <v>1.4009177368826646</v>
      </c>
      <c r="AL160" s="246">
        <f t="shared" ref="AL160:AN160" si="600">AL159*AL158</f>
        <v>4.0001357453238722</v>
      </c>
      <c r="AM160" s="246">
        <f t="shared" si="600"/>
        <v>2.57781133035905</v>
      </c>
      <c r="AN160" s="246">
        <f t="shared" si="600"/>
        <v>1.8422526408135838</v>
      </c>
      <c r="AO160" s="246">
        <f t="shared" ref="AO160" si="601">AO159*AO158</f>
        <v>1.5568627830328821</v>
      </c>
      <c r="AP160" s="277">
        <f t="shared" ref="AP160:AS160" si="602">AP159*AP158</f>
        <v>0.34790835597911673</v>
      </c>
      <c r="AQ160" s="277">
        <f t="shared" si="602"/>
        <v>0.32897117861429154</v>
      </c>
      <c r="AR160" s="277">
        <f t="shared" si="602"/>
        <v>0.27582203989559539</v>
      </c>
      <c r="AS160" s="277">
        <f t="shared" si="602"/>
        <v>0.33705158221325754</v>
      </c>
      <c r="AU160" s="277">
        <v>0.59421802963315851</v>
      </c>
      <c r="AW160" s="246">
        <f t="shared" ref="AW160:BO160" si="603">AW159*AW158</f>
        <v>0.68769418053041509</v>
      </c>
      <c r="AX160" s="246">
        <f t="shared" si="603"/>
        <v>0.29423198109663573</v>
      </c>
      <c r="AY160" s="246">
        <f t="shared" si="603"/>
        <v>0.37432360397221337</v>
      </c>
      <c r="AZ160" s="246">
        <f t="shared" si="603"/>
        <v>0.40258403181449764</v>
      </c>
      <c r="BA160" s="246">
        <f t="shared" si="603"/>
        <v>0.39323519026802262</v>
      </c>
      <c r="BB160" s="246">
        <f t="shared" si="603"/>
        <v>0.31927716505444559</v>
      </c>
      <c r="BC160" s="246">
        <f t="shared" si="603"/>
        <v>0.29064665919629051</v>
      </c>
      <c r="BD160" s="246">
        <f t="shared" si="603"/>
        <v>0.35525844870667478</v>
      </c>
      <c r="BE160" s="246">
        <f t="shared" si="603"/>
        <v>0.33291586721637645</v>
      </c>
      <c r="BF160" s="246">
        <f t="shared" si="603"/>
        <v>0.4831544772493187</v>
      </c>
      <c r="BG160" s="246">
        <f t="shared" si="603"/>
        <v>0.51400934923783315</v>
      </c>
      <c r="BH160" s="246">
        <f t="shared" si="603"/>
        <v>0.65279604750027087</v>
      </c>
      <c r="BI160" s="246">
        <f t="shared" si="603"/>
        <v>0.78040078444668692</v>
      </c>
      <c r="BJ160" s="246">
        <f t="shared" si="603"/>
        <v>0.82112921353134483</v>
      </c>
      <c r="BK160" s="246">
        <f t="shared" si="603"/>
        <v>0.66551264068564142</v>
      </c>
      <c r="BL160" s="246">
        <f t="shared" si="603"/>
        <v>0.68493554546603941</v>
      </c>
      <c r="BM160" s="246">
        <f t="shared" si="603"/>
        <v>0.76544408054782953</v>
      </c>
      <c r="BN160" s="246">
        <f t="shared" si="603"/>
        <v>0.65382637659053677</v>
      </c>
      <c r="BO160" s="246">
        <f t="shared" si="603"/>
        <v>0.91714997118020747</v>
      </c>
      <c r="BP160" s="246">
        <f t="shared" ref="BP160:BU160" si="604">BP159*BP158</f>
        <v>1.0118060152389077</v>
      </c>
      <c r="BQ160" s="246" t="e">
        <f t="shared" si="604"/>
        <v>#REF!</v>
      </c>
      <c r="BR160" s="246" t="e">
        <f t="shared" si="604"/>
        <v>#REF!</v>
      </c>
      <c r="BS160" s="246" t="e">
        <f t="shared" si="604"/>
        <v>#REF!</v>
      </c>
      <c r="BT160" s="246" t="e">
        <f t="shared" si="604"/>
        <v>#REF!</v>
      </c>
      <c r="BU160" s="246">
        <f t="shared" si="604"/>
        <v>1.152172740589622</v>
      </c>
      <c r="BV160" s="246">
        <f t="shared" ref="BV160:CD160" si="605">BV159*BV158</f>
        <v>1.3484503276368827</v>
      </c>
      <c r="BW160" s="246">
        <f t="shared" si="605"/>
        <v>1.738839012781993</v>
      </c>
      <c r="BX160" s="246">
        <f>BX159*BX158</f>
        <v>1.61076400155136</v>
      </c>
      <c r="BY160" s="246">
        <f>BY159*BY158</f>
        <v>1.4530426477262648</v>
      </c>
      <c r="BZ160" s="246">
        <f>BZ159*BZ158</f>
        <v>1.4863909809430336</v>
      </c>
      <c r="CA160" s="277">
        <f t="shared" si="605"/>
        <v>1.2620611309384226</v>
      </c>
      <c r="CB160" s="277">
        <f t="shared" si="605"/>
        <v>1.0779913381763557</v>
      </c>
      <c r="CC160" s="277">
        <f t="shared" si="605"/>
        <v>0.94039467524902953</v>
      </c>
      <c r="CD160" s="277">
        <f t="shared" si="605"/>
        <v>0.83848433481221485</v>
      </c>
    </row>
    <row r="161" spans="1:82" ht="13.5" customHeight="1">
      <c r="A161" s="260" t="s">
        <v>170</v>
      </c>
      <c r="B161" s="246">
        <f t="shared" ref="B161:AJ161" si="606">B27/(B27-B24)</f>
        <v>0.69469126536662351</v>
      </c>
      <c r="C161" s="246">
        <f t="shared" si="606"/>
        <v>0.66499822750683579</v>
      </c>
      <c r="D161" s="246">
        <f t="shared" si="606"/>
        <v>0.70382963301316082</v>
      </c>
      <c r="E161" s="246">
        <f t="shared" si="606"/>
        <v>0.69548920619613941</v>
      </c>
      <c r="F161" s="246">
        <f t="shared" si="606"/>
        <v>0.70119897975989587</v>
      </c>
      <c r="G161" s="246">
        <f t="shared" si="606"/>
        <v>0.67915303661198578</v>
      </c>
      <c r="H161" s="246">
        <f t="shared" si="606"/>
        <v>0.68107856921953669</v>
      </c>
      <c r="I161" s="246">
        <f t="shared" si="606"/>
        <v>0.75000261740089991</v>
      </c>
      <c r="J161" s="246">
        <f t="shared" si="606"/>
        <v>0.69941503994212983</v>
      </c>
      <c r="K161" s="246">
        <f t="shared" si="606"/>
        <v>0.69414202804440017</v>
      </c>
      <c r="L161" s="246">
        <f t="shared" si="606"/>
        <v>0.69971462287798969</v>
      </c>
      <c r="M161" s="246">
        <f t="shared" si="606"/>
        <v>0.7193557662184954</v>
      </c>
      <c r="N161" s="246">
        <f t="shared" si="606"/>
        <v>0.6826326236496848</v>
      </c>
      <c r="O161" s="246">
        <f t="shared" si="606"/>
        <v>0.68146213282447532</v>
      </c>
      <c r="P161" s="246">
        <f t="shared" si="606"/>
        <v>0.69998944422122178</v>
      </c>
      <c r="Q161" s="246">
        <f t="shared" si="606"/>
        <v>0.69408123535374244</v>
      </c>
      <c r="R161" s="246">
        <f t="shared" si="606"/>
        <v>0.66483343385001514</v>
      </c>
      <c r="S161" s="246">
        <f t="shared" si="606"/>
        <v>0.69875223031248279</v>
      </c>
      <c r="T161" s="246">
        <f t="shared" si="606"/>
        <v>0.68498457204185681</v>
      </c>
      <c r="U161" s="246">
        <f t="shared" si="606"/>
        <v>0.71177716357053777</v>
      </c>
      <c r="V161" s="246">
        <f t="shared" si="606"/>
        <v>0.68532235470245406</v>
      </c>
      <c r="W161" s="246">
        <f t="shared" si="606"/>
        <v>0.68419670817001255</v>
      </c>
      <c r="X161" s="246">
        <f t="shared" si="606"/>
        <v>0.67764855540350388</v>
      </c>
      <c r="Y161" s="246">
        <f t="shared" si="606"/>
        <v>0.64655719576511828</v>
      </c>
      <c r="Z161" s="246">
        <f t="shared" si="606"/>
        <v>0.68797202462156093</v>
      </c>
      <c r="AA161" s="246">
        <f t="shared" si="606"/>
        <v>0.6803484926800214</v>
      </c>
      <c r="AB161" s="246">
        <f t="shared" si="606"/>
        <v>0.68091744002380228</v>
      </c>
      <c r="AC161" s="246">
        <f t="shared" si="606"/>
        <v>0.67536835308723453</v>
      </c>
      <c r="AD161" s="246">
        <f t="shared" si="606"/>
        <v>0.68126536615333122</v>
      </c>
      <c r="AE161" s="246">
        <f t="shared" si="606"/>
        <v>0.67949363321791478</v>
      </c>
      <c r="AF161" s="246">
        <f t="shared" si="606"/>
        <v>0.66052039512931593</v>
      </c>
      <c r="AG161" s="246">
        <f t="shared" si="606"/>
        <v>0.67872901591806756</v>
      </c>
      <c r="AH161" s="246">
        <f t="shared" si="606"/>
        <v>0.67482078806567813</v>
      </c>
      <c r="AI161" s="246">
        <f t="shared" si="606"/>
        <v>0.67027461798393551</v>
      </c>
      <c r="AJ161" s="246">
        <f t="shared" si="606"/>
        <v>0.68122266225614592</v>
      </c>
      <c r="AK161" s="246">
        <f t="shared" ref="AK161:AL161" si="607">AK27/(AK27-AK24)</f>
        <v>0.69060452099363179</v>
      </c>
      <c r="AL161" s="246">
        <f t="shared" si="607"/>
        <v>0.68590418420761179</v>
      </c>
      <c r="AM161" s="246">
        <f t="shared" ref="AM161:AN161" si="608">AM27/(AM27-AM24)</f>
        <v>0.69265779728350862</v>
      </c>
      <c r="AN161" s="246">
        <f t="shared" si="608"/>
        <v>0.68583818667573582</v>
      </c>
      <c r="AO161" s="246">
        <f t="shared" ref="AO161" si="609">AO27/(AO27-AO24)</f>
        <v>0.77947389331656536</v>
      </c>
      <c r="AP161" s="277">
        <f t="shared" ref="AP161:AS161" si="610">AP27/(AP27-AP24)</f>
        <v>0.69</v>
      </c>
      <c r="AQ161" s="277">
        <f t="shared" si="610"/>
        <v>0.69</v>
      </c>
      <c r="AR161" s="277">
        <f t="shared" si="610"/>
        <v>0.69</v>
      </c>
      <c r="AS161" s="277">
        <f t="shared" si="610"/>
        <v>0.69</v>
      </c>
      <c r="AU161" s="277">
        <v>0.68583818667573582</v>
      </c>
      <c r="AW161" s="246">
        <f t="shared" ref="AW161:CD161" si="611">AW27/(AW27-AW24)</f>
        <v>0.58051041671308046</v>
      </c>
      <c r="AX161" s="246">
        <f t="shared" si="611"/>
        <v>0.55776227504998899</v>
      </c>
      <c r="AY161" s="246">
        <f t="shared" si="611"/>
        <v>0.55038225706718125</v>
      </c>
      <c r="AZ161" s="246">
        <f t="shared" si="611"/>
        <v>0.58044620980533757</v>
      </c>
      <c r="BA161" s="246">
        <f t="shared" si="611"/>
        <v>0.56406847897089707</v>
      </c>
      <c r="BB161" s="246">
        <f t="shared" si="611"/>
        <v>0.52019776213699243</v>
      </c>
      <c r="BC161" s="246">
        <f t="shared" si="611"/>
        <v>0.5390923010409705</v>
      </c>
      <c r="BD161" s="246">
        <f t="shared" si="611"/>
        <v>0.61164821734136343</v>
      </c>
      <c r="BE161" s="246">
        <f t="shared" si="611"/>
        <v>0.62892244019190835</v>
      </c>
      <c r="BF161" s="246">
        <f t="shared" si="611"/>
        <v>0.65830154248318318</v>
      </c>
      <c r="BG161" s="246">
        <f t="shared" si="611"/>
        <v>0.74798534083959167</v>
      </c>
      <c r="BH161" s="246">
        <f t="shared" si="611"/>
        <v>0.85910917616106752</v>
      </c>
      <c r="BI161" s="246">
        <f t="shared" si="611"/>
        <v>0.78001838654586153</v>
      </c>
      <c r="BJ161" s="246">
        <f t="shared" si="611"/>
        <v>0.75685630802820303</v>
      </c>
      <c r="BK161" s="246">
        <f t="shared" si="611"/>
        <v>0.7370122068541749</v>
      </c>
      <c r="BL161" s="246">
        <f t="shared" si="611"/>
        <v>0.68982603309459556</v>
      </c>
      <c r="BM161" s="246">
        <f t="shared" si="611"/>
        <v>0.69789894804717345</v>
      </c>
      <c r="BN161" s="246">
        <f t="shared" si="611"/>
        <v>0.69848614475485693</v>
      </c>
      <c r="BO161" s="246">
        <f t="shared" si="611"/>
        <v>0.69052097443203753</v>
      </c>
      <c r="BP161" s="246">
        <f t="shared" si="611"/>
        <v>0.68977180209091471</v>
      </c>
      <c r="BQ161" s="246">
        <f t="shared" si="611"/>
        <v>0.70476287684904104</v>
      </c>
      <c r="BR161" s="246">
        <f t="shared" si="611"/>
        <v>0.70274228217241463</v>
      </c>
      <c r="BS161" s="246">
        <f t="shared" si="611"/>
        <v>0.68963899446194676</v>
      </c>
      <c r="BT161" s="246">
        <f t="shared" si="611"/>
        <v>0.69037196952970614</v>
      </c>
      <c r="BU161" s="246">
        <f t="shared" si="611"/>
        <v>0.67638803597875918</v>
      </c>
      <c r="BV161" s="246">
        <f t="shared" si="611"/>
        <v>0.6807131481622507</v>
      </c>
      <c r="BW161" s="246">
        <f t="shared" si="611"/>
        <v>0.67506809549772684</v>
      </c>
      <c r="BX161" s="246">
        <f t="shared" si="611"/>
        <v>0.67860082090912188</v>
      </c>
      <c r="BY161" s="246">
        <f t="shared" si="611"/>
        <v>0.71237117132867944</v>
      </c>
      <c r="BZ161" s="246">
        <f t="shared" ref="BZ161" si="612">BZ27/(BZ27-BZ24)</f>
        <v>0.69</v>
      </c>
      <c r="CA161" s="277">
        <f t="shared" si="611"/>
        <v>0.68500000000000005</v>
      </c>
      <c r="CB161" s="277">
        <f t="shared" si="611"/>
        <v>0.68500000000000005</v>
      </c>
      <c r="CC161" s="277">
        <f t="shared" si="611"/>
        <v>0.68499999999999994</v>
      </c>
      <c r="CD161" s="277">
        <f t="shared" si="611"/>
        <v>0.68499999999999994</v>
      </c>
    </row>
    <row r="162" spans="1:82" ht="13.5" customHeight="1">
      <c r="A162" s="319" t="s">
        <v>171</v>
      </c>
      <c r="B162" s="251">
        <f>B161*B160</f>
        <v>1.4710772229547651</v>
      </c>
      <c r="C162" s="251">
        <f t="shared" ref="C162:M162" si="613">C161*C160</f>
        <v>1.074240407061569</v>
      </c>
      <c r="D162" s="251">
        <f t="shared" si="613"/>
        <v>0.91561050973375913</v>
      </c>
      <c r="E162" s="251">
        <f t="shared" si="613"/>
        <v>0.68172851666165868</v>
      </c>
      <c r="F162" s="251">
        <f t="shared" si="613"/>
        <v>1.4818466938471682</v>
      </c>
      <c r="G162" s="251">
        <f t="shared" si="613"/>
        <v>1.0030307619367189</v>
      </c>
      <c r="H162" s="251">
        <f t="shared" si="613"/>
        <v>0.70978876990633144</v>
      </c>
      <c r="I162" s="251">
        <f>I161*I160</f>
        <v>0.70575242381282144</v>
      </c>
      <c r="J162" s="251">
        <f t="shared" si="613"/>
        <v>2.2704393078212308</v>
      </c>
      <c r="K162" s="251">
        <f t="shared" si="613"/>
        <v>1.3586533765194846</v>
      </c>
      <c r="L162" s="251">
        <f t="shared" si="613"/>
        <v>0.88952262730494136</v>
      </c>
      <c r="M162" s="251">
        <f t="shared" si="613"/>
        <v>0.72345939833642114</v>
      </c>
      <c r="N162" s="251">
        <f t="shared" ref="N162:AH162" si="614">N161*N160</f>
        <v>2.790373671846011</v>
      </c>
      <c r="O162" s="251">
        <f t="shared" si="614"/>
        <v>1.7772480867726332</v>
      </c>
      <c r="P162" s="251">
        <f t="shared" si="614"/>
        <v>1.2354548370690837</v>
      </c>
      <c r="Q162" s="251">
        <f t="shared" si="614"/>
        <v>1.0967328436683057</v>
      </c>
      <c r="R162" s="251">
        <f t="shared" si="614"/>
        <v>2.8701063888740168</v>
      </c>
      <c r="S162" s="251">
        <f t="shared" si="614"/>
        <v>1.971940695345795</v>
      </c>
      <c r="T162" s="251">
        <f t="shared" si="614"/>
        <v>1.0425044837829756</v>
      </c>
      <c r="U162" s="251">
        <f t="shared" si="614"/>
        <v>1.1089610059861688</v>
      </c>
      <c r="V162" s="251">
        <f t="shared" si="614"/>
        <v>2.4321948187142004</v>
      </c>
      <c r="W162" s="251">
        <f t="shared" si="614"/>
        <v>1.2164212787111872</v>
      </c>
      <c r="X162" s="251">
        <f t="shared" si="614"/>
        <v>0.69079988981292129</v>
      </c>
      <c r="Y162" s="251">
        <f t="shared" si="614"/>
        <v>0.55243692419616941</v>
      </c>
      <c r="Z162" s="251">
        <f t="shared" si="614"/>
        <v>2.7542234339301945</v>
      </c>
      <c r="AA162" s="251">
        <f t="shared" si="614"/>
        <v>1.5627942287537875</v>
      </c>
      <c r="AB162" s="251">
        <f t="shared" si="614"/>
        <v>1.3471964697588374</v>
      </c>
      <c r="AC162" s="251">
        <f t="shared" si="614"/>
        <v>1.1318278650210352</v>
      </c>
      <c r="AD162" s="251">
        <f t="shared" si="614"/>
        <v>4.5926748768999071</v>
      </c>
      <c r="AE162" s="251">
        <f t="shared" si="614"/>
        <v>2.2617069830553653</v>
      </c>
      <c r="AF162" s="251">
        <f t="shared" si="614"/>
        <v>1.2923608141982887</v>
      </c>
      <c r="AG162" s="251">
        <f t="shared" si="614"/>
        <v>1.1155972910309655</v>
      </c>
      <c r="AH162" s="251">
        <f t="shared" si="614"/>
        <v>2.6082820944316136</v>
      </c>
      <c r="AI162" s="251">
        <f t="shared" ref="AI162:AK162" si="615">AI161*AI160</f>
        <v>1.5476651881069319</v>
      </c>
      <c r="AJ162" s="251">
        <f t="shared" si="615"/>
        <v>1.1209926382880608</v>
      </c>
      <c r="AK162" s="251">
        <f t="shared" si="615"/>
        <v>0.96748012263133532</v>
      </c>
      <c r="AL162" s="251">
        <f t="shared" ref="AL162:AN162" si="616">AL161*AL160</f>
        <v>2.7437098451160775</v>
      </c>
      <c r="AM162" s="251">
        <f t="shared" si="616"/>
        <v>1.7855411178989704</v>
      </c>
      <c r="AN162" s="251">
        <f t="shared" si="616"/>
        <v>1.2634872105741739</v>
      </c>
      <c r="AO162" s="251">
        <f t="shared" ref="AO162" si="617">AO161*AO160</f>
        <v>1.2135338948503038</v>
      </c>
      <c r="AP162" s="318">
        <f t="shared" ref="AP162:AS162" si="618">AP161*AP160</f>
        <v>0.24005676562559053</v>
      </c>
      <c r="AQ162" s="318">
        <f t="shared" si="618"/>
        <v>0.22699011324386115</v>
      </c>
      <c r="AR162" s="318">
        <f t="shared" si="618"/>
        <v>0.1903172075279608</v>
      </c>
      <c r="AS162" s="318">
        <f t="shared" si="618"/>
        <v>0.23256559172714769</v>
      </c>
      <c r="AU162" s="318">
        <v>0.40753741593363407</v>
      </c>
      <c r="AW162" s="251">
        <f t="shared" ref="AW162:BO162" si="619">AW161*AW160</f>
        <v>0.39921363531087162</v>
      </c>
      <c r="AX162" s="251">
        <f t="shared" si="619"/>
        <v>0.1641114991689249</v>
      </c>
      <c r="AY162" s="251">
        <f t="shared" si="619"/>
        <v>0.2060210700277485</v>
      </c>
      <c r="AZ162" s="251">
        <f t="shared" si="619"/>
        <v>0.2336783753948766</v>
      </c>
      <c r="BA162" s="251">
        <f t="shared" si="619"/>
        <v>0.22181157565231482</v>
      </c>
      <c r="BB162" s="251">
        <f t="shared" si="619"/>
        <v>0.16608726676276575</v>
      </c>
      <c r="BC162" s="251">
        <f t="shared" si="619"/>
        <v>0.15668537629599899</v>
      </c>
      <c r="BD162" s="251">
        <f t="shared" si="619"/>
        <v>0.21729319684689583</v>
      </c>
      <c r="BE162" s="251">
        <f t="shared" si="619"/>
        <v>0.20937825958832881</v>
      </c>
      <c r="BF162" s="251">
        <f t="shared" si="619"/>
        <v>0.31806133763088251</v>
      </c>
      <c r="BG162" s="251">
        <f t="shared" si="619"/>
        <v>0.38447145828439733</v>
      </c>
      <c r="BH162" s="251">
        <f t="shared" si="619"/>
        <v>0.56082307456915881</v>
      </c>
      <c r="BI162" s="251">
        <f t="shared" si="619"/>
        <v>0.60872696074322941</v>
      </c>
      <c r="BJ162" s="251">
        <f t="shared" si="619"/>
        <v>0.62147682496743561</v>
      </c>
      <c r="BK162" s="251">
        <f t="shared" si="619"/>
        <v>0.49049094000107413</v>
      </c>
      <c r="BL162" s="251">
        <f t="shared" si="619"/>
        <v>0.47248637025432094</v>
      </c>
      <c r="BM162" s="251">
        <f t="shared" si="619"/>
        <v>0.53420261860326612</v>
      </c>
      <c r="BN162" s="251">
        <f t="shared" si="619"/>
        <v>0.45668866512376127</v>
      </c>
      <c r="BO162" s="251">
        <f t="shared" si="619"/>
        <v>0.63331129179967205</v>
      </c>
      <c r="BP162" s="251">
        <f t="shared" ref="BP162:BU162" si="620">BP161*BP160</f>
        <v>0.69791525849776881</v>
      </c>
      <c r="BQ162" s="251" t="e">
        <f t="shared" si="620"/>
        <v>#REF!</v>
      </c>
      <c r="BR162" s="251" t="e">
        <f t="shared" si="620"/>
        <v>#REF!</v>
      </c>
      <c r="BS162" s="251" t="e">
        <f t="shared" si="620"/>
        <v>#REF!</v>
      </c>
      <c r="BT162" s="251" t="e">
        <f t="shared" si="620"/>
        <v>#REF!</v>
      </c>
      <c r="BU162" s="251">
        <f t="shared" si="620"/>
        <v>0.77931585711567886</v>
      </c>
      <c r="BV162" s="251">
        <f t="shared" ref="BV162:CD162" si="621">BV161*BV160</f>
        <v>0.91790786766612076</v>
      </c>
      <c r="BW162" s="251">
        <f t="shared" si="621"/>
        <v>1.1738347407358876</v>
      </c>
      <c r="BX162" s="251">
        <f>BX161*BX160</f>
        <v>1.0930657737436149</v>
      </c>
      <c r="BY162" s="251">
        <f>BY161*BY160</f>
        <v>1.035105692951285</v>
      </c>
      <c r="BZ162" s="251">
        <f>BZ161*BZ160</f>
        <v>1.0256097768506931</v>
      </c>
      <c r="CA162" s="318">
        <f t="shared" si="621"/>
        <v>0.86451187469281954</v>
      </c>
      <c r="CB162" s="318">
        <f t="shared" si="621"/>
        <v>0.73842406665080373</v>
      </c>
      <c r="CC162" s="318">
        <f t="shared" si="621"/>
        <v>0.64417035254558519</v>
      </c>
      <c r="CD162" s="318">
        <f t="shared" si="621"/>
        <v>0.57436176934636707</v>
      </c>
    </row>
    <row r="163" spans="1:82" ht="13.5" customHeight="1">
      <c r="A163" s="260" t="s">
        <v>172</v>
      </c>
      <c r="B163" s="246">
        <f t="shared" ref="B163:AJ163" si="622">1-B114</f>
        <v>1</v>
      </c>
      <c r="C163" s="246">
        <f t="shared" si="622"/>
        <v>2.2095742558699838E-3</v>
      </c>
      <c r="D163" s="246">
        <f t="shared" si="622"/>
        <v>1.8953682699910268</v>
      </c>
      <c r="E163" s="246">
        <f t="shared" si="622"/>
        <v>-3.8141304265819231</v>
      </c>
      <c r="F163" s="246">
        <f t="shared" si="622"/>
        <v>-4.2449416351223954</v>
      </c>
      <c r="G163" s="246">
        <f t="shared" si="622"/>
        <v>1</v>
      </c>
      <c r="H163" s="246">
        <f t="shared" si="622"/>
        <v>1</v>
      </c>
      <c r="I163" s="246">
        <f t="shared" si="622"/>
        <v>1</v>
      </c>
      <c r="J163" s="246">
        <f t="shared" si="622"/>
        <v>1</v>
      </c>
      <c r="K163" s="246">
        <f t="shared" si="622"/>
        <v>1</v>
      </c>
      <c r="L163" s="246">
        <f t="shared" si="622"/>
        <v>1</v>
      </c>
      <c r="M163" s="246">
        <f t="shared" si="622"/>
        <v>1</v>
      </c>
      <c r="N163" s="246">
        <f t="shared" si="622"/>
        <v>1</v>
      </c>
      <c r="O163" s="246">
        <f t="shared" si="622"/>
        <v>1</v>
      </c>
      <c r="P163" s="246">
        <f t="shared" si="622"/>
        <v>1</v>
      </c>
      <c r="Q163" s="246">
        <f t="shared" si="622"/>
        <v>1</v>
      </c>
      <c r="R163" s="246">
        <f t="shared" si="622"/>
        <v>1</v>
      </c>
      <c r="S163" s="246">
        <f t="shared" si="622"/>
        <v>1</v>
      </c>
      <c r="T163" s="246">
        <f t="shared" si="622"/>
        <v>1</v>
      </c>
      <c r="U163" s="246">
        <f t="shared" si="622"/>
        <v>1</v>
      </c>
      <c r="V163" s="246">
        <f t="shared" si="622"/>
        <v>0.17206190495806384</v>
      </c>
      <c r="W163" s="246">
        <f t="shared" si="622"/>
        <v>-8.5334476605332998E-2</v>
      </c>
      <c r="X163" s="246">
        <f t="shared" si="622"/>
        <v>-0.509191829899166</v>
      </c>
      <c r="Y163" s="246">
        <f t="shared" si="622"/>
        <v>-0.67810784757731435</v>
      </c>
      <c r="Z163" s="246">
        <f t="shared" si="622"/>
        <v>-0.15900815268437407</v>
      </c>
      <c r="AA163" s="246">
        <f t="shared" si="622"/>
        <v>-6.8265032750079779E-2</v>
      </c>
      <c r="AB163" s="246">
        <f t="shared" si="622"/>
        <v>1</v>
      </c>
      <c r="AC163" s="246">
        <f t="shared" si="622"/>
        <v>-0.77338895168682686</v>
      </c>
      <c r="AD163" s="246">
        <f t="shared" si="622"/>
        <v>1</v>
      </c>
      <c r="AE163" s="246">
        <f t="shared" si="622"/>
        <v>0.30814632359765648</v>
      </c>
      <c r="AF163" s="246">
        <f t="shared" si="622"/>
        <v>0.25491938828827343</v>
      </c>
      <c r="AG163" s="246">
        <f t="shared" si="622"/>
        <v>-0.29097303743551484</v>
      </c>
      <c r="AH163" s="246">
        <f t="shared" si="622"/>
        <v>1</v>
      </c>
      <c r="AI163" s="246">
        <f t="shared" si="622"/>
        <v>0.33001959368876976</v>
      </c>
      <c r="AJ163" s="246">
        <f t="shared" si="622"/>
        <v>0.21654413620726465</v>
      </c>
      <c r="AK163" s="246">
        <f t="shared" ref="AK163:AL163" si="623">1-AK114</f>
        <v>-0.59706192147299153</v>
      </c>
      <c r="AL163" s="246">
        <f t="shared" si="623"/>
        <v>1</v>
      </c>
      <c r="AM163" s="246">
        <f t="shared" ref="AM163:AN163" si="624">1-AM114</f>
        <v>0.16858178622432174</v>
      </c>
      <c r="AN163" s="246">
        <f t="shared" si="624"/>
        <v>7.5292144534884531E-2</v>
      </c>
      <c r="AO163" s="246">
        <f t="shared" ref="AO163" si="625">1-AO114</f>
        <v>-0.41471693626960926</v>
      </c>
      <c r="AP163" s="277">
        <f t="shared" ref="AP163:AS163" si="626">1-AP114</f>
        <v>1</v>
      </c>
      <c r="AQ163" s="277">
        <f t="shared" si="626"/>
        <v>0.21041216570683341</v>
      </c>
      <c r="AR163" s="277">
        <f t="shared" si="626"/>
        <v>8.7923948444870059E-2</v>
      </c>
      <c r="AS163" s="277">
        <f t="shared" si="626"/>
        <v>-0.58200652721675672</v>
      </c>
      <c r="AU163" s="277">
        <v>-0.62375677450313272</v>
      </c>
      <c r="AW163" s="246">
        <f t="shared" ref="AW163:CD163" si="627">1-AW114</f>
        <v>0.32397296583682511</v>
      </c>
      <c r="AX163" s="246">
        <f t="shared" si="627"/>
        <v>-0.21350590004811787</v>
      </c>
      <c r="AY163" s="246">
        <f t="shared" si="627"/>
        <v>0.29724457496865231</v>
      </c>
      <c r="AZ163" s="246">
        <f t="shared" si="627"/>
        <v>0.28321142224084406</v>
      </c>
      <c r="BA163" s="246">
        <f t="shared" si="627"/>
        <v>0.13447630444152736</v>
      </c>
      <c r="BB163" s="246">
        <f t="shared" si="627"/>
        <v>-0.20600608391586706</v>
      </c>
      <c r="BC163" s="246">
        <f t="shared" si="627"/>
        <v>-0.26197717282282107</v>
      </c>
      <c r="BD163" s="246">
        <f t="shared" si="627"/>
        <v>8.5999990924161995E-2</v>
      </c>
      <c r="BE163" s="246">
        <f t="shared" si="627"/>
        <v>-2.4555324600750383E-2</v>
      </c>
      <c r="BF163" s="246">
        <f t="shared" si="627"/>
        <v>-0.69371493658133065</v>
      </c>
      <c r="BG163" s="246">
        <f t="shared" si="627"/>
        <v>0.15989467872293806</v>
      </c>
      <c r="BH163" s="246">
        <f t="shared" si="627"/>
        <v>0.39857888107597905</v>
      </c>
      <c r="BI163" s="246">
        <f t="shared" si="627"/>
        <v>0.39210664113513694</v>
      </c>
      <c r="BJ163" s="246">
        <f t="shared" si="627"/>
        <v>0.34201656686927007</v>
      </c>
      <c r="BK163" s="246">
        <f t="shared" si="627"/>
        <v>0.13228201330832601</v>
      </c>
      <c r="BL163" s="246">
        <f t="shared" si="627"/>
        <v>7.4377604068572079E-2</v>
      </c>
      <c r="BM163" s="246">
        <f t="shared" si="627"/>
        <v>9.8191601697799613E-2</v>
      </c>
      <c r="BN163" s="246">
        <f t="shared" si="627"/>
        <v>-0.23517332097859112</v>
      </c>
      <c r="BO163" s="246">
        <f t="shared" si="627"/>
        <v>-5.8667144061629761E-2</v>
      </c>
      <c r="BP163" s="246">
        <f t="shared" si="627"/>
        <v>1.8705493719183286E-2</v>
      </c>
      <c r="BQ163" s="246">
        <f t="shared" si="627"/>
        <v>-0.19856546718929668</v>
      </c>
      <c r="BR163" s="246">
        <f t="shared" si="627"/>
        <v>-0.15660445358174835</v>
      </c>
      <c r="BS163" s="246">
        <f t="shared" si="627"/>
        <v>7.0055104594487494E-2</v>
      </c>
      <c r="BT163" s="246">
        <f t="shared" si="627"/>
        <v>4.0056882162051499E-2</v>
      </c>
      <c r="BU163" s="246">
        <f t="shared" si="627"/>
        <v>0.20715809384782291</v>
      </c>
      <c r="BV163" s="246">
        <f t="shared" si="627"/>
        <v>-9.4872425447300568E-2</v>
      </c>
      <c r="BW163" s="246">
        <f t="shared" si="627"/>
        <v>2.8449801286934973E-3</v>
      </c>
      <c r="BX163" s="246">
        <f t="shared" si="627"/>
        <v>0.18438993019238326</v>
      </c>
      <c r="BY163" s="246">
        <f t="shared" si="627"/>
        <v>0.20711456588438959</v>
      </c>
      <c r="BZ163" s="246">
        <f t="shared" ref="BZ163" si="628">1-BZ114</f>
        <v>0.10700635098745581</v>
      </c>
      <c r="CA163" s="277">
        <f t="shared" si="627"/>
        <v>0.19999999999999996</v>
      </c>
      <c r="CB163" s="277">
        <f t="shared" si="627"/>
        <v>0.19999999999999996</v>
      </c>
      <c r="CC163" s="277">
        <f t="shared" si="627"/>
        <v>0.19999999999999996</v>
      </c>
      <c r="CD163" s="277">
        <f t="shared" si="627"/>
        <v>0.19999999999999996</v>
      </c>
    </row>
    <row r="164" spans="1:82" ht="13.5" customHeight="1">
      <c r="A164" s="260" t="s">
        <v>173</v>
      </c>
      <c r="B164" s="246">
        <f>B163*B162</f>
        <v>1.4710772229547651</v>
      </c>
      <c r="C164" s="246">
        <f t="shared" ref="C164:M164" si="629">C163*C162</f>
        <v>2.3736139480585346E-3</v>
      </c>
      <c r="D164" s="246">
        <f t="shared" si="629"/>
        <v>1.7354191078196772</v>
      </c>
      <c r="E164" s="246">
        <f t="shared" si="629"/>
        <v>-2.600201478067794</v>
      </c>
      <c r="F164" s="246">
        <f t="shared" si="629"/>
        <v>-6.2903527275803137</v>
      </c>
      <c r="G164" s="246">
        <f t="shared" si="629"/>
        <v>1.0030307619367189</v>
      </c>
      <c r="H164" s="246">
        <f t="shared" si="629"/>
        <v>0.70978876990633144</v>
      </c>
      <c r="I164" s="246">
        <f>I163*I162</f>
        <v>0.70575242381282144</v>
      </c>
      <c r="J164" s="246">
        <f t="shared" si="629"/>
        <v>2.2704393078212308</v>
      </c>
      <c r="K164" s="246">
        <f t="shared" si="629"/>
        <v>1.3586533765194846</v>
      </c>
      <c r="L164" s="246">
        <f t="shared" si="629"/>
        <v>0.88952262730494136</v>
      </c>
      <c r="M164" s="246">
        <f t="shared" si="629"/>
        <v>0.72345939833642114</v>
      </c>
      <c r="N164" s="246">
        <f t="shared" ref="N164:AH164" si="630">N163*N162</f>
        <v>2.790373671846011</v>
      </c>
      <c r="O164" s="246">
        <f t="shared" si="630"/>
        <v>1.7772480867726332</v>
      </c>
      <c r="P164" s="246">
        <f t="shared" si="630"/>
        <v>1.2354548370690837</v>
      </c>
      <c r="Q164" s="246">
        <f t="shared" si="630"/>
        <v>1.0967328436683057</v>
      </c>
      <c r="R164" s="246">
        <f t="shared" si="630"/>
        <v>2.8701063888740168</v>
      </c>
      <c r="S164" s="246">
        <f t="shared" si="630"/>
        <v>1.971940695345795</v>
      </c>
      <c r="T164" s="246">
        <f t="shared" si="630"/>
        <v>1.0425044837829756</v>
      </c>
      <c r="U164" s="246">
        <f t="shared" si="630"/>
        <v>1.1089610059861688</v>
      </c>
      <c r="V164" s="246">
        <f t="shared" si="630"/>
        <v>0.41848807373709807</v>
      </c>
      <c r="W164" s="246">
        <f t="shared" si="630"/>
        <v>-0.10380267315040906</v>
      </c>
      <c r="X164" s="246">
        <f t="shared" si="630"/>
        <v>-0.35174965998798363</v>
      </c>
      <c r="Y164" s="246">
        <f t="shared" si="630"/>
        <v>-0.37461181358889639</v>
      </c>
      <c r="Z164" s="246">
        <f t="shared" si="630"/>
        <v>-0.43794398030925341</v>
      </c>
      <c r="AA164" s="246">
        <f t="shared" si="630"/>
        <v>-0.10668419920751297</v>
      </c>
      <c r="AB164" s="246">
        <f t="shared" si="630"/>
        <v>1.3471964697588374</v>
      </c>
      <c r="AC164" s="246">
        <f t="shared" si="630"/>
        <v>-0.87534316601855777</v>
      </c>
      <c r="AD164" s="246">
        <f t="shared" si="630"/>
        <v>4.5926748768999071</v>
      </c>
      <c r="AE164" s="246">
        <f t="shared" si="630"/>
        <v>0.69693669188365792</v>
      </c>
      <c r="AF164" s="246">
        <f t="shared" si="630"/>
        <v>0.32944782820316276</v>
      </c>
      <c r="AG164" s="246">
        <f t="shared" si="630"/>
        <v>-0.32460873232611204</v>
      </c>
      <c r="AH164" s="246">
        <f t="shared" si="630"/>
        <v>2.6082820944316136</v>
      </c>
      <c r="AI164" s="246">
        <f t="shared" ref="AI164:AK164" si="631">AI163*AI162</f>
        <v>0.5107598365453031</v>
      </c>
      <c r="AJ164" s="246">
        <f t="shared" si="631"/>
        <v>0.24274438255279079</v>
      </c>
      <c r="AK164" s="246">
        <f t="shared" si="631"/>
        <v>-0.5776455410051905</v>
      </c>
      <c r="AL164" s="246">
        <f t="shared" ref="AL164:AN164" si="632">AL163*AL162</f>
        <v>2.7437098451160775</v>
      </c>
      <c r="AM164" s="246">
        <f t="shared" si="632"/>
        <v>0.30100971103238067</v>
      </c>
      <c r="AN164" s="246">
        <f t="shared" si="632"/>
        <v>9.5130661676528783E-2</v>
      </c>
      <c r="AO164" s="246">
        <f t="shared" ref="AO164" si="633">AO163*AO162</f>
        <v>-0.5032730589316442</v>
      </c>
      <c r="AP164" s="277">
        <f t="shared" ref="AP164:AS164" si="634">AP163*AP162</f>
        <v>0.24005676562559053</v>
      </c>
      <c r="AQ164" s="277">
        <f t="shared" si="634"/>
        <v>4.7761481321680191E-2</v>
      </c>
      <c r="AR164" s="277">
        <f t="shared" si="634"/>
        <v>1.6733440342860062E-2</v>
      </c>
      <c r="AS164" s="277">
        <f t="shared" si="634"/>
        <v>-0.13535469239122733</v>
      </c>
      <c r="AU164" s="277">
        <v>-0.25420422405210519</v>
      </c>
      <c r="AW164" s="246">
        <f t="shared" ref="AW164:BO164" si="635">AW163*AW162</f>
        <v>0.12933442543416376</v>
      </c>
      <c r="AX164" s="246">
        <f t="shared" si="635"/>
        <v>-3.5038773338307259E-2</v>
      </c>
      <c r="AY164" s="246">
        <f t="shared" si="635"/>
        <v>6.1238645394985053E-2</v>
      </c>
      <c r="AZ164" s="246">
        <f t="shared" si="635"/>
        <v>6.6180385042512863E-2</v>
      </c>
      <c r="BA164" s="246">
        <f t="shared" si="635"/>
        <v>2.9828400976075566E-2</v>
      </c>
      <c r="BB164" s="246">
        <f t="shared" si="635"/>
        <v>-3.4214987414087315E-2</v>
      </c>
      <c r="BC164" s="246">
        <f t="shared" si="635"/>
        <v>-4.1047991904705677E-2</v>
      </c>
      <c r="BD164" s="246">
        <f t="shared" si="635"/>
        <v>1.8687212956715188E-2</v>
      </c>
      <c r="BE164" s="246">
        <f t="shared" si="635"/>
        <v>-5.1413511285315905E-3</v>
      </c>
      <c r="BF164" s="246">
        <f t="shared" si="635"/>
        <v>-0.22064390066358086</v>
      </c>
      <c r="BG164" s="246">
        <f t="shared" si="635"/>
        <v>6.1474940300523188E-2</v>
      </c>
      <c r="BH164" s="246">
        <f t="shared" si="635"/>
        <v>0.22353223354336568</v>
      </c>
      <c r="BI164" s="246">
        <f t="shared" si="635"/>
        <v>0.23868588394542803</v>
      </c>
      <c r="BJ164" s="246">
        <f t="shared" si="635"/>
        <v>0.2125553700641766</v>
      </c>
      <c r="BK164" s="246">
        <f t="shared" si="635"/>
        <v>6.4883129052835414E-2</v>
      </c>
      <c r="BL164" s="246">
        <f t="shared" si="635"/>
        <v>3.5142404174572636E-2</v>
      </c>
      <c r="BM164" s="246">
        <f t="shared" si="635"/>
        <v>5.2454210751813467E-2</v>
      </c>
      <c r="BN164" s="246">
        <f t="shared" si="635"/>
        <v>-0.10740099003043461</v>
      </c>
      <c r="BO164" s="246">
        <f t="shared" si="635"/>
        <v>-3.7154564791868204E-2</v>
      </c>
      <c r="BP164" s="246">
        <f t="shared" ref="BP164:BU164" si="636">BP163*BP162</f>
        <v>1.3054849484352194E-2</v>
      </c>
      <c r="BQ164" s="246" t="e">
        <f t="shared" si="636"/>
        <v>#REF!</v>
      </c>
      <c r="BR164" s="246" t="e">
        <f t="shared" si="636"/>
        <v>#REF!</v>
      </c>
      <c r="BS164" s="246" t="e">
        <f t="shared" si="636"/>
        <v>#REF!</v>
      </c>
      <c r="BT164" s="246" t="e">
        <f t="shared" si="636"/>
        <v>#REF!</v>
      </c>
      <c r="BU164" s="246">
        <f t="shared" si="636"/>
        <v>0.16144158746546636</v>
      </c>
      <c r="BV164" s="246">
        <f t="shared" ref="BV164:CD164" si="637">BV163*BV162</f>
        <v>-8.7084145742644684E-2</v>
      </c>
      <c r="BW164" s="246">
        <f t="shared" si="637"/>
        <v>3.3395365117636832E-3</v>
      </c>
      <c r="BX164" s="246">
        <f>BX163*BX162</f>
        <v>0.20155032171626855</v>
      </c>
      <c r="BY164" s="246">
        <f>BY163*BY162</f>
        <v>0.21438546624006566</v>
      </c>
      <c r="BZ164" s="246">
        <f>BZ163*BZ162</f>
        <v>0.1097467597578515</v>
      </c>
      <c r="CA164" s="277">
        <f t="shared" si="637"/>
        <v>0.17290237493856386</v>
      </c>
      <c r="CB164" s="277">
        <f t="shared" si="637"/>
        <v>0.1476848133301607</v>
      </c>
      <c r="CC164" s="277">
        <f t="shared" si="637"/>
        <v>0.12883407050911702</v>
      </c>
      <c r="CD164" s="277">
        <f t="shared" si="637"/>
        <v>0.11487235386927339</v>
      </c>
    </row>
    <row r="165" spans="1:82" s="319" customFormat="1" ht="13.5" customHeight="1">
      <c r="A165" s="319" t="s">
        <v>22</v>
      </c>
      <c r="B165" s="251">
        <f t="shared" ref="B165:AJ165" si="638">B27*4/AVERAGE(B88:B88)</f>
        <v>1.4710772229547648</v>
      </c>
      <c r="C165" s="251">
        <f t="shared" si="638"/>
        <v>1.0742404070615688</v>
      </c>
      <c r="D165" s="251">
        <f t="shared" si="638"/>
        <v>0.91561050973375924</v>
      </c>
      <c r="E165" s="251">
        <f t="shared" si="638"/>
        <v>0.68172851666165868</v>
      </c>
      <c r="F165" s="251">
        <f t="shared" si="638"/>
        <v>1.4818466938471686</v>
      </c>
      <c r="G165" s="251">
        <f t="shared" si="638"/>
        <v>1.0030307619367187</v>
      </c>
      <c r="H165" s="251">
        <f t="shared" si="638"/>
        <v>0.70978876990633144</v>
      </c>
      <c r="I165" s="251">
        <f t="shared" si="638"/>
        <v>0.70575242381282155</v>
      </c>
      <c r="J165" s="251">
        <f t="shared" si="638"/>
        <v>2.2704393078212313</v>
      </c>
      <c r="K165" s="251">
        <f t="shared" si="638"/>
        <v>1.3586533765194846</v>
      </c>
      <c r="L165" s="251">
        <f t="shared" si="638"/>
        <v>0.88952262730494136</v>
      </c>
      <c r="M165" s="251">
        <f t="shared" si="638"/>
        <v>0.72345939833642114</v>
      </c>
      <c r="N165" s="251">
        <f t="shared" si="638"/>
        <v>2.7903736718460106</v>
      </c>
      <c r="O165" s="251">
        <f t="shared" si="638"/>
        <v>1.777248086772633</v>
      </c>
      <c r="P165" s="251">
        <f t="shared" si="638"/>
        <v>1.2354548370690837</v>
      </c>
      <c r="Q165" s="251">
        <f t="shared" si="638"/>
        <v>1.0967328436683057</v>
      </c>
      <c r="R165" s="251">
        <f t="shared" si="638"/>
        <v>2.8701063888740164</v>
      </c>
      <c r="S165" s="251">
        <f t="shared" si="638"/>
        <v>1.971940695345795</v>
      </c>
      <c r="T165" s="251">
        <f t="shared" si="638"/>
        <v>1.0425044837829756</v>
      </c>
      <c r="U165" s="251">
        <f t="shared" si="638"/>
        <v>1.1089610059861688</v>
      </c>
      <c r="V165" s="251">
        <f t="shared" si="638"/>
        <v>2.4321948187142</v>
      </c>
      <c r="W165" s="251">
        <f t="shared" si="638"/>
        <v>1.216421278711187</v>
      </c>
      <c r="X165" s="251">
        <f t="shared" si="638"/>
        <v>0.69079988981292118</v>
      </c>
      <c r="Y165" s="251">
        <f t="shared" si="638"/>
        <v>0.55243692419616952</v>
      </c>
      <c r="Z165" s="251">
        <f t="shared" si="638"/>
        <v>2.7542234339301941</v>
      </c>
      <c r="AA165" s="251">
        <f t="shared" si="638"/>
        <v>1.5627942287537873</v>
      </c>
      <c r="AB165" s="251">
        <f t="shared" si="638"/>
        <v>1.3471964697588372</v>
      </c>
      <c r="AC165" s="251">
        <f t="shared" si="638"/>
        <v>1.1318278650210349</v>
      </c>
      <c r="AD165" s="251">
        <f t="shared" si="638"/>
        <v>4.5926748768999071</v>
      </c>
      <c r="AE165" s="251">
        <f t="shared" si="638"/>
        <v>2.2617069830553649</v>
      </c>
      <c r="AF165" s="251">
        <f t="shared" si="638"/>
        <v>1.2923608141982885</v>
      </c>
      <c r="AG165" s="251">
        <f t="shared" si="638"/>
        <v>1.1155972910309655</v>
      </c>
      <c r="AH165" s="251">
        <f t="shared" si="638"/>
        <v>2.6082820944316136</v>
      </c>
      <c r="AI165" s="251">
        <f t="shared" si="638"/>
        <v>1.5476651881069317</v>
      </c>
      <c r="AJ165" s="251">
        <f t="shared" si="638"/>
        <v>1.1209926382880608</v>
      </c>
      <c r="AK165" s="251">
        <f t="shared" ref="AK165:AL165" si="639">AK27*4/AVERAGE(AK88:AK88)</f>
        <v>0.96748012263133532</v>
      </c>
      <c r="AL165" s="251">
        <f t="shared" si="639"/>
        <v>2.743709845116078</v>
      </c>
      <c r="AM165" s="251">
        <f t="shared" ref="AM165:AN165" si="640">AM27*4/AVERAGE(AM88:AM88)</f>
        <v>1.7855411178989709</v>
      </c>
      <c r="AN165" s="251">
        <f t="shared" si="640"/>
        <v>1.2634872105741737</v>
      </c>
      <c r="AO165" s="251">
        <f t="shared" ref="AO165" si="641">AO27*4/AVERAGE(AO88:AO88)</f>
        <v>1.2135338948503038</v>
      </c>
      <c r="AP165" s="318">
        <f t="shared" ref="AP165:AS165" si="642">AP27/AVERAGE(AO88:AP88)</f>
        <v>0.24005676562559047</v>
      </c>
      <c r="AQ165" s="318">
        <f t="shared" si="642"/>
        <v>0.22699011324386115</v>
      </c>
      <c r="AR165" s="318">
        <f t="shared" si="642"/>
        <v>0.19031720752796086</v>
      </c>
      <c r="AS165" s="318">
        <f t="shared" si="642"/>
        <v>0.23256559172714766</v>
      </c>
      <c r="AU165" s="318">
        <v>0.40753741593363418</v>
      </c>
      <c r="AW165" s="251">
        <f>AW27/AVERAGE(A88:AW88)</f>
        <v>0.39921363531087156</v>
      </c>
      <c r="AX165" s="251">
        <f t="shared" ref="AX165:CD165" si="643">AX27/AVERAGE(AW88:AX88)</f>
        <v>0.1641114991689249</v>
      </c>
      <c r="AY165" s="251">
        <f t="shared" si="643"/>
        <v>0.20602107002774853</v>
      </c>
      <c r="AZ165" s="251">
        <f t="shared" si="643"/>
        <v>0.23367837539487663</v>
      </c>
      <c r="BA165" s="251">
        <f t="shared" si="643"/>
        <v>0.22181157565231488</v>
      </c>
      <c r="BB165" s="251">
        <f t="shared" si="643"/>
        <v>0.16608726676276575</v>
      </c>
      <c r="BC165" s="251">
        <f t="shared" si="643"/>
        <v>0.15668537629599902</v>
      </c>
      <c r="BD165" s="251">
        <f t="shared" si="643"/>
        <v>0.21729319684689585</v>
      </c>
      <c r="BE165" s="251">
        <f t="shared" si="643"/>
        <v>0.20937825958832884</v>
      </c>
      <c r="BF165" s="251">
        <f t="shared" si="643"/>
        <v>0.31806133763088251</v>
      </c>
      <c r="BG165" s="251">
        <f t="shared" si="643"/>
        <v>0.38447145828439727</v>
      </c>
      <c r="BH165" s="251">
        <f t="shared" si="643"/>
        <v>0.5608230745691587</v>
      </c>
      <c r="BI165" s="251">
        <f t="shared" si="643"/>
        <v>0.60872696074322941</v>
      </c>
      <c r="BJ165" s="251">
        <f t="shared" si="643"/>
        <v>0.6214768249674355</v>
      </c>
      <c r="BK165" s="251">
        <f t="shared" si="643"/>
        <v>0.49049094000107418</v>
      </c>
      <c r="BL165" s="251">
        <f t="shared" si="643"/>
        <v>0.47248637025432105</v>
      </c>
      <c r="BM165" s="251">
        <f t="shared" si="643"/>
        <v>0.53420261860326612</v>
      </c>
      <c r="BN165" s="251">
        <f t="shared" si="643"/>
        <v>0.45668866512376133</v>
      </c>
      <c r="BO165" s="251">
        <f t="shared" si="643"/>
        <v>0.63331129179967205</v>
      </c>
      <c r="BP165" s="251">
        <f t="shared" si="643"/>
        <v>0.69791525849776881</v>
      </c>
      <c r="BQ165" s="251">
        <f t="shared" si="643"/>
        <v>0.62136796804087702</v>
      </c>
      <c r="BR165" s="251">
        <f t="shared" si="643"/>
        <v>0.7234114211851711</v>
      </c>
      <c r="BS165" s="251">
        <f t="shared" si="643"/>
        <v>0.94821456611761745</v>
      </c>
      <c r="BT165" s="251">
        <f t="shared" si="643"/>
        <v>1.1223518743369043</v>
      </c>
      <c r="BU165" s="251">
        <f t="shared" si="643"/>
        <v>0.77931585711567863</v>
      </c>
      <c r="BV165" s="251">
        <f t="shared" si="643"/>
        <v>0.91790786766612109</v>
      </c>
      <c r="BW165" s="251">
        <f t="shared" si="643"/>
        <v>1.1738347407358873</v>
      </c>
      <c r="BX165" s="251">
        <f t="shared" si="643"/>
        <v>1.0930657737436145</v>
      </c>
      <c r="BY165" s="251">
        <f t="shared" si="643"/>
        <v>1.0351056929512852</v>
      </c>
      <c r="BZ165" s="251">
        <f t="shared" si="643"/>
        <v>1.0256097768506929</v>
      </c>
      <c r="CA165" s="318">
        <f t="shared" si="643"/>
        <v>0.86451187469281954</v>
      </c>
      <c r="CB165" s="318">
        <f t="shared" si="643"/>
        <v>0.73842406665080396</v>
      </c>
      <c r="CC165" s="318">
        <f t="shared" si="643"/>
        <v>0.64417035254558519</v>
      </c>
      <c r="CD165" s="318">
        <f t="shared" si="643"/>
        <v>0.57436176934636718</v>
      </c>
    </row>
    <row r="171" spans="1:82" ht="13.5" customHeight="1">
      <c r="BU171" s="260" t="s">
        <v>12</v>
      </c>
      <c r="BV171" s="260" t="s">
        <v>12</v>
      </c>
      <c r="BW171" s="260">
        <f>+BW16</f>
        <v>13916.799000000006</v>
      </c>
      <c r="BX171" s="260">
        <f>+BX16</f>
        <v>14895.023099999997</v>
      </c>
      <c r="BY171" s="260">
        <f>+BY16</f>
        <v>14105.057999999997</v>
      </c>
      <c r="BZ171" s="260">
        <f>+BZ16</f>
        <v>14902.69084165218</v>
      </c>
    </row>
    <row r="172" spans="1:82" ht="13.5" customHeight="1">
      <c r="BU172" s="260" t="s">
        <v>174</v>
      </c>
      <c r="BV172" s="260" t="s">
        <v>174</v>
      </c>
      <c r="BW172" s="260">
        <f>+SUM(BW18:BW19)</f>
        <v>-1543.9950000000001</v>
      </c>
      <c r="BX172" s="260">
        <f>+SUM(BX18:BX19)</f>
        <v>-1307.778</v>
      </c>
      <c r="BY172" s="260">
        <f>+SUM(BY18:BY19)</f>
        <v>-1449.816</v>
      </c>
      <c r="BZ172" s="260">
        <f>+SUM(BZ18:BZ19)</f>
        <v>-1138.7729743100113</v>
      </c>
    </row>
    <row r="173" spans="1:82" ht="13.5" customHeight="1">
      <c r="BU173" s="260" t="s">
        <v>175</v>
      </c>
      <c r="BV173" s="260" t="s">
        <v>175</v>
      </c>
    </row>
    <row r="174" spans="1:82" ht="13.5" customHeight="1">
      <c r="BU174" s="260" t="s">
        <v>176</v>
      </c>
      <c r="BV174" s="260" t="s">
        <v>176</v>
      </c>
      <c r="BW174" s="260">
        <f>+BW24</f>
        <v>-3375.5070000000001</v>
      </c>
      <c r="BX174" s="260">
        <f>+BX24</f>
        <v>-3708.8089999999997</v>
      </c>
      <c r="BY174" s="260">
        <f>+BY24</f>
        <v>-3059.9810000000002</v>
      </c>
      <c r="BZ174" s="260">
        <f>+BZ24</f>
        <v>-3643.6323322070966</v>
      </c>
    </row>
    <row r="175" spans="1:82" ht="13.5" customHeight="1">
      <c r="BU175" s="260" t="s">
        <v>177</v>
      </c>
      <c r="BV175" s="260" t="s">
        <v>177</v>
      </c>
      <c r="BW175" s="260">
        <f>+BW133</f>
        <v>-2141.4360000000001</v>
      </c>
      <c r="BX175" s="260">
        <f>+BX133</f>
        <v>-2503.3389999999999</v>
      </c>
      <c r="BY175" s="260">
        <f>+BY133</f>
        <v>-1824.7339999999999</v>
      </c>
      <c r="BZ175" s="260">
        <f>+BZ133</f>
        <v>-1867.7496449999999</v>
      </c>
    </row>
    <row r="176" spans="1:82" ht="13.5" customHeight="1">
      <c r="BU176" s="260" t="s">
        <v>178</v>
      </c>
      <c r="BV176" s="260" t="s">
        <v>178</v>
      </c>
      <c r="BW176" s="260">
        <f>+SUM(BW171:BW175)</f>
        <v>6855.8610000000062</v>
      </c>
      <c r="BX176" s="260">
        <f>+SUM(BX171:BX175)</f>
        <v>7375.0970999999972</v>
      </c>
      <c r="BY176" s="260">
        <f>+SUM(BY171:BY175)</f>
        <v>7770.5269999999964</v>
      </c>
      <c r="BZ176" s="260">
        <f>+SUM(BZ171:BZ175)</f>
        <v>8252.5358901350719</v>
      </c>
    </row>
    <row r="177" spans="73:78" ht="13.5" customHeight="1">
      <c r="BU177" s="260" t="s">
        <v>179</v>
      </c>
      <c r="BV177" s="260" t="s">
        <v>179</v>
      </c>
      <c r="BW177" s="260">
        <f ca="1">+BW176/BW46</f>
        <v>6.3297977691701535E-2</v>
      </c>
      <c r="BX177" s="260">
        <f>+BX176/BX46</f>
        <v>7.5723976534245577E-2</v>
      </c>
      <c r="BY177" s="260">
        <f>+BY176/BY46</f>
        <v>8.0920098123748438E-2</v>
      </c>
      <c r="BZ177" s="260">
        <f>+BZ176/BZ46</f>
        <v>8.7827840701432985E-2</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117"/>
  <sheetViews>
    <sheetView showGridLines="0" tabSelected="1" zoomScaleNormal="100" workbookViewId="0">
      <pane xSplit="1" ySplit="1" topLeftCell="AG74" activePane="bottomRight" state="frozen"/>
      <selection pane="topRight" activeCell="B1" sqref="B1"/>
      <selection pane="bottomLeft" activeCell="A2" sqref="A2"/>
      <selection pane="bottomRight" activeCell="AN85" sqref="AN85:AS85"/>
    </sheetView>
  </sheetViews>
  <sheetFormatPr defaultColWidth="6.7109375" defaultRowHeight="17.25" customHeight="1" outlineLevelCol="1"/>
  <cols>
    <col min="1" max="1" width="34.42578125" style="423" bestFit="1" customWidth="1"/>
    <col min="2" max="2" width="8" style="423" bestFit="1" customWidth="1" outlineLevel="1" collapsed="1"/>
    <col min="3" max="13" width="8" style="423" bestFit="1" customWidth="1" outlineLevel="1"/>
    <col min="14" max="14" width="33" style="423" bestFit="1" customWidth="1"/>
    <col min="15" max="45" width="8" style="423" bestFit="1" customWidth="1"/>
    <col min="46" max="46" width="12" style="423" bestFit="1" customWidth="1"/>
    <col min="47" max="47" width="8" style="423" bestFit="1" customWidth="1"/>
    <col min="48" max="48" width="6.7109375" style="423"/>
    <col min="49" max="54" width="8" style="423" hidden="1" customWidth="1" outlineLevel="1"/>
    <col min="55" max="67" width="8.85546875" style="423" hidden="1" customWidth="1" outlineLevel="1"/>
    <col min="68" max="68" width="20.28515625" style="423" bestFit="1" customWidth="1" collapsed="1"/>
    <col min="69" max="70" width="8.85546875" style="423" bestFit="1" customWidth="1"/>
    <col min="71" max="71" width="10.42578125" style="423" customWidth="1"/>
    <col min="72" max="82" width="8.85546875" style="423" bestFit="1" customWidth="1"/>
    <col min="83" max="16384" width="6.7109375" style="423"/>
  </cols>
  <sheetData>
    <row r="1" spans="1:82" ht="17.25" customHeight="1" thickBot="1">
      <c r="A1" s="420" t="s">
        <v>180</v>
      </c>
      <c r="B1" s="421">
        <v>42460</v>
      </c>
      <c r="C1" s="421">
        <f>+EOMONTH(B1,3)</f>
        <v>42551</v>
      </c>
      <c r="D1" s="421">
        <f t="shared" ref="D1:AK1" si="0">+EOMONTH(C1,3)</f>
        <v>42643</v>
      </c>
      <c r="E1" s="421">
        <f t="shared" si="0"/>
        <v>42735</v>
      </c>
      <c r="F1" s="421">
        <f t="shared" si="0"/>
        <v>42825</v>
      </c>
      <c r="G1" s="421">
        <f t="shared" si="0"/>
        <v>42916</v>
      </c>
      <c r="H1" s="421">
        <f t="shared" si="0"/>
        <v>43008</v>
      </c>
      <c r="I1" s="421">
        <f t="shared" si="0"/>
        <v>43100</v>
      </c>
      <c r="J1" s="421">
        <f t="shared" si="0"/>
        <v>43190</v>
      </c>
      <c r="K1" s="421">
        <f t="shared" si="0"/>
        <v>43281</v>
      </c>
      <c r="L1" s="421">
        <f t="shared" si="0"/>
        <v>43373</v>
      </c>
      <c r="M1" s="421">
        <f t="shared" si="0"/>
        <v>43465</v>
      </c>
      <c r="N1" s="421">
        <f t="shared" si="0"/>
        <v>43555</v>
      </c>
      <c r="O1" s="421">
        <f t="shared" si="0"/>
        <v>43646</v>
      </c>
      <c r="P1" s="421">
        <f t="shared" si="0"/>
        <v>43738</v>
      </c>
      <c r="Q1" s="421">
        <f t="shared" si="0"/>
        <v>43830</v>
      </c>
      <c r="R1" s="421">
        <f t="shared" si="0"/>
        <v>43921</v>
      </c>
      <c r="S1" s="421">
        <f t="shared" si="0"/>
        <v>44012</v>
      </c>
      <c r="T1" s="421">
        <f t="shared" si="0"/>
        <v>44104</v>
      </c>
      <c r="U1" s="421">
        <f t="shared" si="0"/>
        <v>44196</v>
      </c>
      <c r="V1" s="421">
        <f t="shared" si="0"/>
        <v>44286</v>
      </c>
      <c r="W1" s="421">
        <f t="shared" si="0"/>
        <v>44377</v>
      </c>
      <c r="X1" s="421">
        <f t="shared" si="0"/>
        <v>44469</v>
      </c>
      <c r="Y1" s="421">
        <f t="shared" si="0"/>
        <v>44561</v>
      </c>
      <c r="Z1" s="421">
        <f t="shared" si="0"/>
        <v>44651</v>
      </c>
      <c r="AA1" s="421">
        <f t="shared" si="0"/>
        <v>44742</v>
      </c>
      <c r="AB1" s="421">
        <f t="shared" si="0"/>
        <v>44834</v>
      </c>
      <c r="AC1" s="421">
        <v>44925</v>
      </c>
      <c r="AD1" s="421">
        <f t="shared" si="0"/>
        <v>45016</v>
      </c>
      <c r="AE1" s="421">
        <f t="shared" si="0"/>
        <v>45107</v>
      </c>
      <c r="AF1" s="421">
        <f t="shared" si="0"/>
        <v>45199</v>
      </c>
      <c r="AG1" s="421">
        <f t="shared" si="0"/>
        <v>45291</v>
      </c>
      <c r="AH1" s="421">
        <f t="shared" si="0"/>
        <v>45382</v>
      </c>
      <c r="AI1" s="421">
        <f t="shared" si="0"/>
        <v>45473</v>
      </c>
      <c r="AJ1" s="421">
        <f t="shared" si="0"/>
        <v>45565</v>
      </c>
      <c r="AK1" s="421">
        <f t="shared" si="0"/>
        <v>45657</v>
      </c>
      <c r="AL1" s="421">
        <f>+EOMONTH(AK1,3)</f>
        <v>45747</v>
      </c>
      <c r="AM1" s="421">
        <f>+EOMONTH(AL1,3)</f>
        <v>45838</v>
      </c>
      <c r="AN1" s="422">
        <f>+EOMONTH(AM1,3)</f>
        <v>45930</v>
      </c>
      <c r="AO1" s="422">
        <f>+EOMONTH(AN1,3)</f>
        <v>46022</v>
      </c>
      <c r="AP1" s="422">
        <f t="shared" ref="AP1:AS1" si="1">+EOMONTH(AO1,3)</f>
        <v>46112</v>
      </c>
      <c r="AQ1" s="422">
        <f t="shared" si="1"/>
        <v>46203</v>
      </c>
      <c r="AR1" s="422">
        <f t="shared" si="1"/>
        <v>46295</v>
      </c>
      <c r="AS1" s="422">
        <f t="shared" si="1"/>
        <v>46387</v>
      </c>
      <c r="AU1" s="422">
        <v>46022</v>
      </c>
      <c r="AW1" s="422">
        <v>35795</v>
      </c>
      <c r="AX1" s="422">
        <f>+EOMONTH(AW1,12)</f>
        <v>36160</v>
      </c>
      <c r="AY1" s="422">
        <f t="shared" ref="AY1:CD1" si="2">+EOMONTH(AX1,12)</f>
        <v>36525</v>
      </c>
      <c r="AZ1" s="422">
        <f t="shared" si="2"/>
        <v>36891</v>
      </c>
      <c r="BA1" s="422">
        <f t="shared" si="2"/>
        <v>37256</v>
      </c>
      <c r="BB1" s="422">
        <f t="shared" si="2"/>
        <v>37621</v>
      </c>
      <c r="BC1" s="422">
        <f t="shared" si="2"/>
        <v>37986</v>
      </c>
      <c r="BD1" s="422">
        <f t="shared" si="2"/>
        <v>38352</v>
      </c>
      <c r="BE1" s="422">
        <f t="shared" si="2"/>
        <v>38717</v>
      </c>
      <c r="BF1" s="422">
        <f t="shared" si="2"/>
        <v>39082</v>
      </c>
      <c r="BG1" s="422">
        <f t="shared" si="2"/>
        <v>39447</v>
      </c>
      <c r="BH1" s="422">
        <f t="shared" si="2"/>
        <v>39813</v>
      </c>
      <c r="BI1" s="422">
        <f t="shared" si="2"/>
        <v>40178</v>
      </c>
      <c r="BJ1" s="422">
        <f t="shared" si="2"/>
        <v>40543</v>
      </c>
      <c r="BK1" s="422">
        <f t="shared" si="2"/>
        <v>40908</v>
      </c>
      <c r="BL1" s="422">
        <f t="shared" si="2"/>
        <v>41274</v>
      </c>
      <c r="BM1" s="422">
        <f t="shared" si="2"/>
        <v>41639</v>
      </c>
      <c r="BN1" s="422">
        <f t="shared" si="2"/>
        <v>42004</v>
      </c>
      <c r="BO1" s="422">
        <f t="shared" si="2"/>
        <v>42369</v>
      </c>
      <c r="BP1" s="422">
        <f t="shared" si="2"/>
        <v>42735</v>
      </c>
      <c r="BQ1" s="422">
        <f t="shared" si="2"/>
        <v>43100</v>
      </c>
      <c r="BR1" s="422">
        <f t="shared" si="2"/>
        <v>43465</v>
      </c>
      <c r="BS1" s="422">
        <f t="shared" si="2"/>
        <v>43830</v>
      </c>
      <c r="BT1" s="422">
        <f t="shared" si="2"/>
        <v>44196</v>
      </c>
      <c r="BU1" s="422">
        <f t="shared" si="2"/>
        <v>44561</v>
      </c>
      <c r="BV1" s="422">
        <f t="shared" si="2"/>
        <v>44926</v>
      </c>
      <c r="BW1" s="422">
        <f t="shared" si="2"/>
        <v>45291</v>
      </c>
      <c r="BX1" s="422">
        <f t="shared" si="2"/>
        <v>45657</v>
      </c>
      <c r="BY1" s="422">
        <f>+EOMONTH(BX1,12)</f>
        <v>46022</v>
      </c>
      <c r="BZ1" s="422">
        <f>+EOMONTH(BY1,12)</f>
        <v>46387</v>
      </c>
      <c r="CA1" s="422">
        <f t="shared" si="2"/>
        <v>46752</v>
      </c>
      <c r="CB1" s="422">
        <f t="shared" si="2"/>
        <v>47118</v>
      </c>
      <c r="CC1" s="422">
        <f t="shared" si="2"/>
        <v>47483</v>
      </c>
      <c r="CD1" s="422">
        <f t="shared" si="2"/>
        <v>47848</v>
      </c>
    </row>
    <row r="2" spans="1:82" ht="17.25" customHeight="1">
      <c r="A2" s="423" t="s">
        <v>181</v>
      </c>
      <c r="B2" s="424">
        <f>+macro!AD42</f>
        <v>17.279299999999999</v>
      </c>
      <c r="C2" s="424">
        <f>+macro!AE42</f>
        <v>18.468399999999999</v>
      </c>
      <c r="D2" s="424">
        <f>+macro!AF42</f>
        <v>19.385200000000001</v>
      </c>
      <c r="E2" s="424">
        <f>+macro!AG42</f>
        <v>20.7272</v>
      </c>
      <c r="F2" s="424">
        <f>+macro!AH42</f>
        <v>18.724900000000002</v>
      </c>
      <c r="G2" s="424">
        <f>+macro!AI42</f>
        <v>18.1203</v>
      </c>
      <c r="H2" s="424">
        <f>+macro!AJ42</f>
        <v>18.2545</v>
      </c>
      <c r="I2" s="424">
        <f>+macro!AK42</f>
        <v>19.658999999999999</v>
      </c>
      <c r="J2" s="424">
        <f>+macro!AL42</f>
        <v>18.1812</v>
      </c>
      <c r="K2" s="424">
        <f>+macro!AM42</f>
        <v>19.907800000000002</v>
      </c>
      <c r="L2" s="424">
        <f>+macro!AN42</f>
        <v>18.718299999999999</v>
      </c>
      <c r="M2" s="424">
        <f>+macro!AO42</f>
        <v>19.650400000000001</v>
      </c>
      <c r="N2" s="425">
        <f>+macro!AP42</f>
        <v>19.427900000000001</v>
      </c>
      <c r="O2" s="425">
        <f>+macro!AQ42</f>
        <v>19.222899999999999</v>
      </c>
      <c r="P2" s="425">
        <f>+macro!AR42</f>
        <v>19.734400000000001</v>
      </c>
      <c r="Q2" s="425">
        <f>+macro!AS42</f>
        <v>18.926500000000001</v>
      </c>
      <c r="R2" s="425">
        <f>+macro!AT42</f>
        <v>23.6723</v>
      </c>
      <c r="S2" s="425">
        <f>+macro!AU42</f>
        <v>22.9924</v>
      </c>
      <c r="T2" s="425">
        <f>+macro!AV42</f>
        <v>22.114599999999999</v>
      </c>
      <c r="U2" s="425">
        <f>+macro!AW42</f>
        <v>19.914300000000001</v>
      </c>
      <c r="V2" s="425">
        <f>+macro!AX42</f>
        <v>20.432500000000001</v>
      </c>
      <c r="W2" s="425">
        <f>+macro!AY42</f>
        <v>19.936499999999999</v>
      </c>
      <c r="X2" s="425">
        <f>+macro!AZ42</f>
        <v>20.64</v>
      </c>
      <c r="Y2" s="425">
        <f>+macro!BA42</f>
        <v>20.529399999999999</v>
      </c>
      <c r="Z2" s="425">
        <f>+macro!BB42</f>
        <v>19.869900000000001</v>
      </c>
      <c r="AA2" s="425">
        <f>+macro!BC42</f>
        <v>20.118300000000001</v>
      </c>
      <c r="AB2" s="425">
        <f>+macro!BD42</f>
        <v>20.138200000000001</v>
      </c>
      <c r="AC2" s="425">
        <f>+macro!BE42</f>
        <v>19.4999</v>
      </c>
      <c r="AD2" s="425">
        <f>+macro!BF42</f>
        <v>18.046199999999999</v>
      </c>
      <c r="AE2" s="425">
        <f>+macro!BG42</f>
        <v>17.1248</v>
      </c>
      <c r="AF2" s="425">
        <f>+macro!BH42</f>
        <v>17.422699999999999</v>
      </c>
      <c r="AG2" s="425">
        <f>+macro!BI42</f>
        <v>16.972000000000001</v>
      </c>
      <c r="AH2" s="425">
        <f>+macro!BJ42</f>
        <v>16.558599999999998</v>
      </c>
      <c r="AI2" s="425">
        <f>+macro!BK42</f>
        <v>18.318300000000001</v>
      </c>
      <c r="AJ2" s="425">
        <f>+macro!BL42</f>
        <v>19.691500000000001</v>
      </c>
      <c r="AK2" s="425">
        <f>+macro!BM42</f>
        <v>20.827200000000001</v>
      </c>
      <c r="AL2" s="425">
        <f>+macro!BN42</f>
        <v>20.4711</v>
      </c>
      <c r="AM2" s="425">
        <f>+macro!BO42</f>
        <v>18.747499999999999</v>
      </c>
      <c r="AN2" s="425">
        <f>+macro!BP42</f>
        <v>18.3123</v>
      </c>
      <c r="AO2" s="426">
        <f>+macro!BQ42</f>
        <v>18.007999999999999</v>
      </c>
      <c r="AP2" s="426">
        <f>+macro!BR42</f>
        <v>17.9222</v>
      </c>
      <c r="AQ2" s="426">
        <f>+macro!BS42</f>
        <v>17.948464731798552</v>
      </c>
      <c r="AR2" s="426">
        <f>+macro!BT42</f>
        <v>17.923182183108665</v>
      </c>
      <c r="AS2" s="426">
        <f>+macro!BU42</f>
        <v>18.141521060696697</v>
      </c>
      <c r="AU2" s="426">
        <v>18.007999999999999</v>
      </c>
      <c r="AW2" s="427">
        <v>8.0549999999999997</v>
      </c>
      <c r="AX2" s="427">
        <v>9.8970000000000002</v>
      </c>
      <c r="AY2" s="427">
        <v>9.5050000000000008</v>
      </c>
      <c r="AZ2" s="427">
        <v>9.6225000000000005</v>
      </c>
      <c r="BA2" s="427">
        <v>9.1575000000000006</v>
      </c>
      <c r="BB2" s="427">
        <v>10.37</v>
      </c>
      <c r="BC2" s="427">
        <v>11.22</v>
      </c>
      <c r="BD2" s="427">
        <v>11.14</v>
      </c>
      <c r="BE2" s="427">
        <v>10.635</v>
      </c>
      <c r="BF2" s="427">
        <v>10.8033</v>
      </c>
      <c r="BG2" s="427">
        <v>10.8988</v>
      </c>
      <c r="BH2" s="427">
        <v>13.673299999999999</v>
      </c>
      <c r="BI2" s="427">
        <v>13.0914</v>
      </c>
      <c r="BJ2" s="427">
        <v>12.34</v>
      </c>
      <c r="BK2" s="424">
        <f>+macro!CY42</f>
        <v>13.935700000000001</v>
      </c>
      <c r="BL2" s="425">
        <f>+macro!CZ42</f>
        <v>12.9251</v>
      </c>
      <c r="BM2" s="425">
        <f>+macro!DA42</f>
        <v>13.0954</v>
      </c>
      <c r="BN2" s="425">
        <f>+macro!DB42</f>
        <v>14.747199999999999</v>
      </c>
      <c r="BO2" s="425">
        <f>+macro!DC42</f>
        <v>17.2075</v>
      </c>
      <c r="BP2" s="425">
        <f>+macro!DD42</f>
        <v>20.7272</v>
      </c>
      <c r="BQ2" s="425">
        <f>+macro!DE42</f>
        <v>19.658999999999999</v>
      </c>
      <c r="BR2" s="425">
        <f>+macro!DF42</f>
        <v>19.650400000000001</v>
      </c>
      <c r="BS2" s="425">
        <f>+macro!DG42</f>
        <v>18.926500000000001</v>
      </c>
      <c r="BT2" s="425">
        <f>+macro!DH42</f>
        <v>19.914300000000001</v>
      </c>
      <c r="BU2" s="425">
        <f>+macro!DI42</f>
        <v>20.529399999999999</v>
      </c>
      <c r="BV2" s="425">
        <f>+macro!DJ42</f>
        <v>19.4999</v>
      </c>
      <c r="BW2" s="425">
        <f>+macro!DK42</f>
        <v>16.972000000000001</v>
      </c>
      <c r="BX2" s="425">
        <f>+macro!DL42</f>
        <v>20.827200000000001</v>
      </c>
      <c r="BY2" s="425">
        <f>+macro!DM42</f>
        <v>18.007999999999999</v>
      </c>
      <c r="BZ2" s="425">
        <f>+macro!DN42</f>
        <v>18.141521060696697</v>
      </c>
      <c r="CA2" s="426">
        <f>+macro!DO42</f>
        <v>18.408308135118705</v>
      </c>
      <c r="CB2" s="426">
        <f>+macro!DP42</f>
        <v>18.679018548870449</v>
      </c>
      <c r="CC2" s="426">
        <f>+macro!DQ42</f>
        <v>18.953709998118541</v>
      </c>
      <c r="CD2" s="426">
        <f>+macro!DR42</f>
        <v>19.232441027502638</v>
      </c>
    </row>
    <row r="3" spans="1:82" ht="17.25" customHeight="1">
      <c r="A3" s="423" t="s">
        <v>182</v>
      </c>
      <c r="B3" s="424">
        <f>+macro!AD9</f>
        <v>18.027200000000001</v>
      </c>
      <c r="C3" s="424">
        <f>+macro!AE9</f>
        <v>18.107299999999999</v>
      </c>
      <c r="D3" s="424">
        <f>+macro!AF9</f>
        <v>18.762599999999999</v>
      </c>
      <c r="E3" s="424">
        <f>+macro!AG9</f>
        <v>19.845099999999999</v>
      </c>
      <c r="F3" s="424">
        <f>+macro!AH9</f>
        <v>20.299420000000001</v>
      </c>
      <c r="G3" s="424">
        <f>+macro!AI9</f>
        <v>18.548847692307703</v>
      </c>
      <c r="H3" s="424">
        <f>+macro!AJ9</f>
        <v>17.818892307692316</v>
      </c>
      <c r="I3" s="424">
        <f>+macro!AK9</f>
        <v>18.986401538461543</v>
      </c>
      <c r="J3" s="424">
        <f>+macro!AL9</f>
        <v>18.718332812499995</v>
      </c>
      <c r="K3" s="424">
        <f>+macro!AM9</f>
        <v>19.415461538461535</v>
      </c>
      <c r="L3" s="424">
        <f>+macro!AN9</f>
        <v>18.942153846153847</v>
      </c>
      <c r="M3" s="424">
        <f>+macro!AO9</f>
        <v>19.837280303030305</v>
      </c>
      <c r="N3" s="425">
        <f>+macro!AP9</f>
        <v>19.200492187500004</v>
      </c>
      <c r="O3" s="425">
        <f>+macro!AQ9</f>
        <v>19.107399999999998</v>
      </c>
      <c r="P3" s="425">
        <f>+macro!AR9</f>
        <v>19.437525757575759</v>
      </c>
      <c r="Q3" s="425">
        <f>+macro!AS9</f>
        <v>19.244784848484844</v>
      </c>
      <c r="R3" s="425">
        <f>+macro!AT9</f>
        <v>20.000129230769225</v>
      </c>
      <c r="S3" s="425">
        <f>+macro!AU9</f>
        <v>23.316533846153849</v>
      </c>
      <c r="T3" s="425">
        <f>+macro!AV9</f>
        <v>22.082651515151515</v>
      </c>
      <c r="U3" s="425">
        <f>+macro!AW9</f>
        <v>20.534918181818181</v>
      </c>
      <c r="V3" s="425">
        <f>+macro!AX9</f>
        <v>20.340296875000007</v>
      </c>
      <c r="W3" s="425">
        <f>+macro!AY9</f>
        <v>20.020470769230773</v>
      </c>
      <c r="X3" s="425">
        <f>+macro!AZ9</f>
        <v>20.033242424242431</v>
      </c>
      <c r="Y3" s="425">
        <f>+macro!BA9</f>
        <v>20.748074242424238</v>
      </c>
      <c r="Z3" s="425">
        <f>+macro!BB9</f>
        <v>20.501793749999983</v>
      </c>
      <c r="AA3" s="425">
        <f>+macro!BC9</f>
        <v>20.030058461538459</v>
      </c>
      <c r="AB3" s="425">
        <f>+macro!BD9</f>
        <v>20.23374545454546</v>
      </c>
      <c r="AC3" s="425">
        <f>+macro!BE9</f>
        <v>19.670035384615385</v>
      </c>
      <c r="AD3" s="425">
        <f>+macro!BF9</f>
        <v>18.651975384615387</v>
      </c>
      <c r="AE3" s="425">
        <f>+macro!BG9</f>
        <v>17.673632307692309</v>
      </c>
      <c r="AF3" s="425">
        <f>+macro!BH9</f>
        <v>17.070366153846152</v>
      </c>
      <c r="AG3" s="425">
        <f>+macro!BI9</f>
        <v>17.553212307692313</v>
      </c>
      <c r="AH3" s="425">
        <f>+macro!BJ9</f>
        <v>16.977137500000001</v>
      </c>
      <c r="AI3" s="425">
        <f>+macro!BK9</f>
        <v>17.246687692307688</v>
      </c>
      <c r="AJ3" s="425">
        <f>+macro!BL9</f>
        <v>18.947240909090912</v>
      </c>
      <c r="AK3" s="425">
        <f>+macro!BM9</f>
        <v>20.084412121212114</v>
      </c>
      <c r="AL3" s="425">
        <f>+macro!BN9</f>
        <v>20.418701562499997</v>
      </c>
      <c r="AM3" s="425">
        <f>+macro!BO9</f>
        <v>19.49283384615384</v>
      </c>
      <c r="AN3" s="425">
        <f>+macro!BP9</f>
        <v>18.628316666666667</v>
      </c>
      <c r="AO3" s="426">
        <f>+macro!BQ9</f>
        <v>18.301781818181823</v>
      </c>
      <c r="AP3" s="426">
        <f>+macro!BR9</f>
        <v>17.9651</v>
      </c>
      <c r="AQ3" s="426">
        <f>+macro!BS9</f>
        <v>17.935332365899278</v>
      </c>
      <c r="AR3" s="426">
        <f>+macro!BT9</f>
        <v>17.935823457453608</v>
      </c>
      <c r="AS3" s="426">
        <f>+macro!BU9</f>
        <v>18.032351621902681</v>
      </c>
      <c r="AU3" s="426">
        <v>18.301781818181823</v>
      </c>
      <c r="AX3" s="428">
        <f t="shared" ref="AX3:BD3" si="3">+AVERAGE(AW2:AX2)</f>
        <v>8.9759999999999991</v>
      </c>
      <c r="AY3" s="428">
        <f t="shared" si="3"/>
        <v>9.7010000000000005</v>
      </c>
      <c r="AZ3" s="428">
        <f t="shared" si="3"/>
        <v>9.5637500000000006</v>
      </c>
      <c r="BA3" s="428">
        <f t="shared" si="3"/>
        <v>9.39</v>
      </c>
      <c r="BB3" s="428">
        <f t="shared" si="3"/>
        <v>9.7637499999999999</v>
      </c>
      <c r="BC3" s="428">
        <f t="shared" si="3"/>
        <v>10.795</v>
      </c>
      <c r="BD3" s="428">
        <f t="shared" si="3"/>
        <v>11.18</v>
      </c>
      <c r="BE3" s="428">
        <f t="shared" ref="BE3:BK3" si="4">+AVERAGE(BD2:BE2)</f>
        <v>10.887499999999999</v>
      </c>
      <c r="BF3" s="428">
        <f t="shared" si="4"/>
        <v>10.719149999999999</v>
      </c>
      <c r="BG3" s="428">
        <f t="shared" si="4"/>
        <v>10.851050000000001</v>
      </c>
      <c r="BH3" s="428">
        <f t="shared" si="4"/>
        <v>12.286049999999999</v>
      </c>
      <c r="BI3" s="428">
        <f t="shared" si="4"/>
        <v>13.382349999999999</v>
      </c>
      <c r="BJ3" s="428">
        <f t="shared" si="4"/>
        <v>12.7157</v>
      </c>
      <c r="BK3" s="428">
        <f t="shared" si="4"/>
        <v>13.13785</v>
      </c>
      <c r="BL3" s="428">
        <f t="shared" ref="BL3:CD3" si="5">+AVERAGE(BK2:BL2)</f>
        <v>13.430400000000001</v>
      </c>
      <c r="BM3" s="428">
        <f t="shared" si="5"/>
        <v>13.010249999999999</v>
      </c>
      <c r="BN3" s="428">
        <f t="shared" si="5"/>
        <v>13.921299999999999</v>
      </c>
      <c r="BO3" s="428">
        <f t="shared" si="5"/>
        <v>15.977349999999999</v>
      </c>
      <c r="BP3" s="428">
        <f t="shared" si="5"/>
        <v>18.96735</v>
      </c>
      <c r="BQ3" s="428">
        <f t="shared" si="5"/>
        <v>20.193100000000001</v>
      </c>
      <c r="BR3" s="428">
        <f t="shared" si="5"/>
        <v>19.654699999999998</v>
      </c>
      <c r="BS3" s="428">
        <f t="shared" si="5"/>
        <v>19.288450000000001</v>
      </c>
      <c r="BT3" s="428">
        <f t="shared" si="5"/>
        <v>19.420400000000001</v>
      </c>
      <c r="BU3" s="428">
        <f t="shared" si="5"/>
        <v>20.22185</v>
      </c>
      <c r="BV3" s="428">
        <f t="shared" si="5"/>
        <v>20.01465</v>
      </c>
      <c r="BW3" s="428">
        <f t="shared" si="5"/>
        <v>18.235950000000003</v>
      </c>
      <c r="BX3" s="428">
        <f t="shared" si="5"/>
        <v>18.8996</v>
      </c>
      <c r="BY3" s="428">
        <f>+AVERAGE(BX2:BY2)</f>
        <v>19.4176</v>
      </c>
      <c r="BZ3" s="428">
        <f>+AVERAGE(BY2:BZ2)</f>
        <v>18.07476053034835</v>
      </c>
      <c r="CA3" s="429">
        <f t="shared" si="5"/>
        <v>18.274914597907703</v>
      </c>
      <c r="CB3" s="429">
        <f t="shared" si="5"/>
        <v>18.543663341994577</v>
      </c>
      <c r="CC3" s="429">
        <f t="shared" si="5"/>
        <v>18.816364273494493</v>
      </c>
      <c r="CD3" s="429">
        <f t="shared" si="5"/>
        <v>19.093075512810589</v>
      </c>
    </row>
    <row r="4" spans="1:82" ht="17.25" customHeight="1">
      <c r="A4" s="423" t="s">
        <v>51</v>
      </c>
      <c r="B4" s="430"/>
      <c r="F4" s="431">
        <f t="shared" ref="F4:AH4" si="6">F3/B3-1</f>
        <v>0.12604397798881695</v>
      </c>
      <c r="G4" s="431">
        <f t="shared" si="6"/>
        <v>2.4385065266920192E-2</v>
      </c>
      <c r="H4" s="431">
        <f t="shared" si="6"/>
        <v>-5.0297277152829722E-2</v>
      </c>
      <c r="I4" s="431">
        <f t="shared" si="6"/>
        <v>-4.327004961116121E-2</v>
      </c>
      <c r="J4" s="431">
        <f t="shared" si="6"/>
        <v>-7.7888293729574842E-2</v>
      </c>
      <c r="K4" s="431">
        <f t="shared" si="6"/>
        <v>4.6720629794875235E-2</v>
      </c>
      <c r="L4" s="431">
        <f t="shared" si="6"/>
        <v>6.30376747928727E-2</v>
      </c>
      <c r="M4" s="431">
        <f t="shared" si="6"/>
        <v>4.4815167468416961E-2</v>
      </c>
      <c r="N4" s="431">
        <f t="shared" si="6"/>
        <v>2.5758670915287274E-2</v>
      </c>
      <c r="O4" s="431">
        <f t="shared" si="6"/>
        <v>-1.586681510770549E-2</v>
      </c>
      <c r="P4" s="431">
        <f t="shared" si="6"/>
        <v>2.6151825998525391E-2</v>
      </c>
      <c r="Q4" s="431">
        <f t="shared" si="6"/>
        <v>-2.9867776504370558E-2</v>
      </c>
      <c r="R4" s="431">
        <f t="shared" si="6"/>
        <v>4.1646695067004913E-2</v>
      </c>
      <c r="S4" s="431">
        <f t="shared" si="6"/>
        <v>0.2202881525562792</v>
      </c>
      <c r="T4" s="431">
        <f t="shared" si="6"/>
        <v>0.13608345993032667</v>
      </c>
      <c r="U4" s="431">
        <f t="shared" si="6"/>
        <v>6.7038075171565792E-2</v>
      </c>
      <c r="V4" s="431">
        <f t="shared" si="6"/>
        <v>1.7008272311933359E-2</v>
      </c>
      <c r="W4" s="431">
        <f t="shared" si="6"/>
        <v>-0.14136162341585667</v>
      </c>
      <c r="X4" s="431">
        <f t="shared" si="6"/>
        <v>-9.2806295906219805E-2</v>
      </c>
      <c r="Y4" s="431">
        <f t="shared" si="6"/>
        <v>1.0380175792216617E-2</v>
      </c>
      <c r="Z4" s="431">
        <f t="shared" si="6"/>
        <v>7.9397501419200545E-3</v>
      </c>
      <c r="AA4" s="431">
        <f t="shared" si="6"/>
        <v>4.7889444849724683E-4</v>
      </c>
      <c r="AB4" s="431">
        <f t="shared" si="6"/>
        <v>1.0008516148159785E-2</v>
      </c>
      <c r="AC4" s="431">
        <f t="shared" si="6"/>
        <v>-5.1958502037965149E-2</v>
      </c>
      <c r="AD4" s="431">
        <f t="shared" si="6"/>
        <v>-9.0227147338490687E-2</v>
      </c>
      <c r="AE4" s="431">
        <f t="shared" si="6"/>
        <v>-0.11764449706279889</v>
      </c>
      <c r="AF4" s="431">
        <f t="shared" si="6"/>
        <v>-0.15634175629053704</v>
      </c>
      <c r="AG4" s="431">
        <f t="shared" si="6"/>
        <v>-0.1076166379740584</v>
      </c>
      <c r="AH4" s="431">
        <f t="shared" si="6"/>
        <v>-8.9794129044199478E-2</v>
      </c>
      <c r="AI4" s="431">
        <f t="shared" ref="AI4:AO4" si="7">AI3/AE3-1</f>
        <v>-2.4157151622917761E-2</v>
      </c>
      <c r="AJ4" s="431">
        <f t="shared" si="7"/>
        <v>0.10994929682992649</v>
      </c>
      <c r="AK4" s="431">
        <f t="shared" si="7"/>
        <v>0.14420151532096259</v>
      </c>
      <c r="AL4" s="431">
        <f t="shared" si="7"/>
        <v>0.20271757017341674</v>
      </c>
      <c r="AM4" s="431">
        <f t="shared" si="7"/>
        <v>0.13023637894527251</v>
      </c>
      <c r="AN4" s="431">
        <f t="shared" si="7"/>
        <v>-1.6832226072094003E-2</v>
      </c>
      <c r="AO4" s="432">
        <f t="shared" si="7"/>
        <v>-8.8756907211019143E-2</v>
      </c>
      <c r="AP4" s="432">
        <f t="shared" ref="AP4" si="8">AP3/AL3-1</f>
        <v>-0.12016442646902503</v>
      </c>
      <c r="AQ4" s="432">
        <f t="shared" ref="AQ4" si="9">AQ3/AM3-1</f>
        <v>-7.9901234091823703E-2</v>
      </c>
      <c r="AR4" s="432">
        <f t="shared" ref="AR4" si="10">AR3/AN3-1</f>
        <v>-3.7174223608309132E-2</v>
      </c>
      <c r="AS4" s="432">
        <f t="shared" ref="AS4" si="11">AS3/AO3-1</f>
        <v>-1.472152815260197E-2</v>
      </c>
      <c r="AU4" s="432">
        <v>-8.8756907211019143E-2</v>
      </c>
      <c r="AX4" s="433" t="e">
        <f t="shared" ref="AX4:BX4" si="12">AX3/AW3-1</f>
        <v>#DIV/0!</v>
      </c>
      <c r="AY4" s="433">
        <f t="shared" si="12"/>
        <v>8.0770944741533235E-2</v>
      </c>
      <c r="AZ4" s="433">
        <f t="shared" si="12"/>
        <v>-1.4148025976703393E-2</v>
      </c>
      <c r="BA4" s="433">
        <f t="shared" si="12"/>
        <v>-1.8167559796105071E-2</v>
      </c>
      <c r="BB4" s="433">
        <f t="shared" si="12"/>
        <v>3.9802981895633582E-2</v>
      </c>
      <c r="BC4" s="433">
        <f t="shared" si="12"/>
        <v>0.10562027909358607</v>
      </c>
      <c r="BD4" s="433">
        <f t="shared" si="12"/>
        <v>3.5664659564613288E-2</v>
      </c>
      <c r="BE4" s="433">
        <f t="shared" si="12"/>
        <v>-2.6162790697674465E-2</v>
      </c>
      <c r="BF4" s="433">
        <f t="shared" si="12"/>
        <v>-1.5462686567164208E-2</v>
      </c>
      <c r="BG4" s="433">
        <f t="shared" si="12"/>
        <v>1.2305080160273985E-2</v>
      </c>
      <c r="BH4" s="433">
        <f t="shared" si="12"/>
        <v>0.13224526658710434</v>
      </c>
      <c r="BI4" s="433">
        <f t="shared" si="12"/>
        <v>8.9231282633555953E-2</v>
      </c>
      <c r="BJ4" s="433">
        <f t="shared" si="12"/>
        <v>-4.981561534409118E-2</v>
      </c>
      <c r="BK4" s="433">
        <f t="shared" si="12"/>
        <v>3.3199116053382882E-2</v>
      </c>
      <c r="BL4" s="433">
        <f t="shared" si="12"/>
        <v>2.226772264868293E-2</v>
      </c>
      <c r="BM4" s="433">
        <f t="shared" si="12"/>
        <v>-3.1283506075768464E-2</v>
      </c>
      <c r="BN4" s="433">
        <f t="shared" si="12"/>
        <v>7.0025556772544739E-2</v>
      </c>
      <c r="BO4" s="433">
        <f t="shared" si="12"/>
        <v>0.14769094840280728</v>
      </c>
      <c r="BP4" s="433">
        <f t="shared" si="12"/>
        <v>0.18713991994917811</v>
      </c>
      <c r="BQ4" s="433">
        <f t="shared" si="12"/>
        <v>6.4624209496845886E-2</v>
      </c>
      <c r="BR4" s="433">
        <f t="shared" si="12"/>
        <v>-2.6662572859046052E-2</v>
      </c>
      <c r="BS4" s="433">
        <f t="shared" si="12"/>
        <v>-1.8634219804932073E-2</v>
      </c>
      <c r="BT4" s="433">
        <f t="shared" si="12"/>
        <v>6.8408814601483847E-3</v>
      </c>
      <c r="BU4" s="433">
        <f t="shared" si="12"/>
        <v>4.126845996992845E-2</v>
      </c>
      <c r="BV4" s="433">
        <f t="shared" si="12"/>
        <v>-1.0246342446413204E-2</v>
      </c>
      <c r="BW4" s="433">
        <f t="shared" si="12"/>
        <v>-8.8869902796201661E-2</v>
      </c>
      <c r="BX4" s="433">
        <f t="shared" si="12"/>
        <v>3.6392400724941432E-2</v>
      </c>
      <c r="BY4" s="433">
        <f t="shared" ref="BY4:CD4" si="13">BY3/BX3-1</f>
        <v>2.7407987470634332E-2</v>
      </c>
      <c r="BZ4" s="433">
        <f t="shared" si="13"/>
        <v>-6.9155790090003388E-2</v>
      </c>
      <c r="CA4" s="434">
        <f t="shared" si="13"/>
        <v>1.1073677420139871E-2</v>
      </c>
      <c r="CB4" s="434">
        <f t="shared" si="13"/>
        <v>1.4705882352940902E-2</v>
      </c>
      <c r="CC4" s="434">
        <f t="shared" si="13"/>
        <v>1.4705882352940902E-2</v>
      </c>
      <c r="CD4" s="434">
        <f t="shared" si="13"/>
        <v>1.4705882352941124E-2</v>
      </c>
    </row>
    <row r="5" spans="1:82" ht="17.25" customHeight="1">
      <c r="A5" s="423" t="s">
        <v>183</v>
      </c>
      <c r="B5" s="430"/>
      <c r="C5" s="431">
        <f t="shared" ref="C5:AJ5" si="14">C3/B3-1</f>
        <v>4.4432857016063476E-3</v>
      </c>
      <c r="D5" s="431">
        <f t="shared" si="14"/>
        <v>3.6189823993638015E-2</v>
      </c>
      <c r="E5" s="431">
        <f t="shared" si="14"/>
        <v>5.7694562587274678E-2</v>
      </c>
      <c r="F5" s="431">
        <f t="shared" si="14"/>
        <v>2.289330867569328E-2</v>
      </c>
      <c r="G5" s="431">
        <f t="shared" si="14"/>
        <v>-8.6237552978966847E-2</v>
      </c>
      <c r="H5" s="431">
        <f t="shared" si="14"/>
        <v>-3.935313916659644E-2</v>
      </c>
      <c r="I5" s="431">
        <f t="shared" si="14"/>
        <v>6.552086463114315E-2</v>
      </c>
      <c r="J5" s="431">
        <f t="shared" si="14"/>
        <v>-1.4118985391650463E-2</v>
      </c>
      <c r="K5" s="431">
        <f t="shared" si="14"/>
        <v>3.7243099208921215E-2</v>
      </c>
      <c r="L5" s="431">
        <f t="shared" si="14"/>
        <v>-2.4377874889560447E-2</v>
      </c>
      <c r="M5" s="431">
        <f t="shared" si="14"/>
        <v>4.7255790663859099E-2</v>
      </c>
      <c r="N5" s="431">
        <f t="shared" si="14"/>
        <v>-3.2100575573004608E-2</v>
      </c>
      <c r="O5" s="431">
        <f t="shared" si="14"/>
        <v>-4.8484271439984683E-3</v>
      </c>
      <c r="P5" s="431">
        <f t="shared" si="14"/>
        <v>1.7277377224308887E-2</v>
      </c>
      <c r="Q5" s="431">
        <f t="shared" si="14"/>
        <v>-9.9159178742590504E-3</v>
      </c>
      <c r="R5" s="431">
        <f t="shared" si="14"/>
        <v>3.9249302511368489E-2</v>
      </c>
      <c r="S5" s="431">
        <f t="shared" si="14"/>
        <v>0.16581915932235569</v>
      </c>
      <c r="T5" s="431">
        <f t="shared" si="14"/>
        <v>-5.2918771681232046E-2</v>
      </c>
      <c r="U5" s="431">
        <f t="shared" si="14"/>
        <v>-7.0088201694048835E-2</v>
      </c>
      <c r="V5" s="431">
        <f t="shared" si="14"/>
        <v>-9.4775788778400649E-3</v>
      </c>
      <c r="W5" s="431">
        <f t="shared" si="14"/>
        <v>-1.5723767835578051E-2</v>
      </c>
      <c r="X5" s="431">
        <f t="shared" si="14"/>
        <v>6.3792980489174589E-4</v>
      </c>
      <c r="Y5" s="431">
        <f t="shared" si="14"/>
        <v>3.5682282630233653E-2</v>
      </c>
      <c r="Z5" s="431">
        <f t="shared" si="14"/>
        <v>-1.1870041023888223E-2</v>
      </c>
      <c r="AA5" s="431">
        <f t="shared" si="14"/>
        <v>-2.3009464157814241E-2</v>
      </c>
      <c r="AB5" s="431">
        <f t="shared" si="14"/>
        <v>1.016906632589798E-2</v>
      </c>
      <c r="AC5" s="431">
        <f t="shared" si="14"/>
        <v>-2.7859897278851964E-2</v>
      </c>
      <c r="AD5" s="431">
        <f t="shared" si="14"/>
        <v>-5.1756897234473631E-2</v>
      </c>
      <c r="AE5" s="431">
        <f t="shared" si="14"/>
        <v>-5.2452518124704417E-2</v>
      </c>
      <c r="AF5" s="431">
        <f t="shared" si="14"/>
        <v>-3.4133682501903739E-2</v>
      </c>
      <c r="AG5" s="431">
        <f t="shared" si="14"/>
        <v>2.8285635439481815E-2</v>
      </c>
      <c r="AH5" s="431">
        <f t="shared" si="14"/>
        <v>-3.281876830258923E-2</v>
      </c>
      <c r="AI5" s="431">
        <f t="shared" si="14"/>
        <v>1.5877246226443376E-2</v>
      </c>
      <c r="AJ5" s="431">
        <f t="shared" si="14"/>
        <v>9.8601728466486849E-2</v>
      </c>
      <c r="AK5" s="431">
        <f>AK3/AJ3-1</f>
        <v>6.0017773436109367E-2</v>
      </c>
      <c r="AL5" s="431">
        <f>AL3/AK3-1</f>
        <v>1.6644223354430387E-2</v>
      </c>
      <c r="AM5" s="431">
        <f>AM3/AL3-1</f>
        <v>-4.5344103468682895E-2</v>
      </c>
      <c r="AN5" s="431">
        <f>AN3/AM3-1</f>
        <v>-4.4350512927485486E-2</v>
      </c>
      <c r="AO5" s="432">
        <f>AO3/AN3-1</f>
        <v>-1.7528950915309593E-2</v>
      </c>
      <c r="AP5" s="432">
        <f t="shared" ref="AP5:AS5" si="15">AP3/AO3-1</f>
        <v>-1.8396122384507274E-2</v>
      </c>
      <c r="AQ5" s="432">
        <f t="shared" si="15"/>
        <v>-1.6569701310163998E-3</v>
      </c>
      <c r="AR5" s="432">
        <f t="shared" si="15"/>
        <v>2.7381235224055445E-5</v>
      </c>
      <c r="AS5" s="432">
        <f t="shared" si="15"/>
        <v>5.3818641044305338E-3</v>
      </c>
      <c r="AU5" s="432">
        <v>-1.7528950915309593E-2</v>
      </c>
      <c r="AX5" s="433"/>
      <c r="AY5" s="433"/>
      <c r="AZ5" s="433"/>
      <c r="BA5" s="433"/>
      <c r="BB5" s="433"/>
      <c r="BC5" s="433"/>
      <c r="BD5" s="433"/>
      <c r="BE5" s="433"/>
      <c r="BF5" s="433"/>
      <c r="BG5" s="433"/>
      <c r="BH5" s="433"/>
      <c r="BI5" s="433"/>
      <c r="BJ5" s="433"/>
      <c r="BK5" s="433"/>
      <c r="BL5" s="433"/>
      <c r="BM5" s="433"/>
      <c r="BN5" s="433"/>
      <c r="BO5" s="433"/>
      <c r="BP5" s="433"/>
      <c r="BQ5" s="433"/>
      <c r="BR5" s="433"/>
      <c r="BS5" s="433"/>
      <c r="BT5" s="433"/>
      <c r="BU5" s="433"/>
      <c r="BV5" s="433"/>
      <c r="BW5" s="433"/>
      <c r="BX5" s="433"/>
      <c r="BY5" s="433"/>
      <c r="BZ5" s="433"/>
      <c r="CA5" s="435"/>
      <c r="CB5" s="435"/>
      <c r="CC5" s="435"/>
      <c r="CD5" s="435"/>
    </row>
    <row r="6" spans="1:82" ht="17.25" customHeight="1">
      <c r="A6" s="423" t="s">
        <v>184</v>
      </c>
      <c r="B6" s="436">
        <f>+macro!AD83</f>
        <v>2.6010290914028955E-2</v>
      </c>
      <c r="C6" s="436">
        <f>+macro!AE83</f>
        <v>2.537965013298793E-2</v>
      </c>
      <c r="D6" s="436">
        <f>+macro!AF83</f>
        <v>2.9689216477270186E-2</v>
      </c>
      <c r="E6" s="436">
        <f>+macro!AG83</f>
        <v>3.3602555060934236E-2</v>
      </c>
      <c r="F6" s="436">
        <f>+macro!AH83</f>
        <v>5.3525747970192494E-2</v>
      </c>
      <c r="G6" s="436">
        <f>+macro!AI83</f>
        <v>6.3136447091487247E-2</v>
      </c>
      <c r="H6" s="436">
        <f>+macro!AJ83</f>
        <v>6.3478818075272114E-2</v>
      </c>
      <c r="I6" s="436">
        <f>+macro!AK83</f>
        <v>6.7731070524451598E-2</v>
      </c>
      <c r="J6" s="436">
        <f>+macro!AL83</f>
        <v>5.0354456438544082E-2</v>
      </c>
      <c r="K6" s="436">
        <f>+macro!AM83</f>
        <v>4.646938405873402E-2</v>
      </c>
      <c r="L6" s="436">
        <f>+macro!AN83</f>
        <v>5.0195902948690474E-2</v>
      </c>
      <c r="M6" s="436">
        <f>+macro!AO83</f>
        <v>4.8305280499506775E-2</v>
      </c>
      <c r="N6" s="431">
        <f>+macro!AP83</f>
        <v>4.0041329873095499E-2</v>
      </c>
      <c r="O6" s="431">
        <f>+macro!AQ83</f>
        <v>3.9471102322983898E-2</v>
      </c>
      <c r="P6" s="431">
        <f>+macro!AR83</f>
        <v>2.9975128075547142E-2</v>
      </c>
      <c r="Q6" s="431">
        <f>+macro!AS83</f>
        <v>2.8285769753445988E-2</v>
      </c>
      <c r="R6" s="431">
        <f>+macro!AT83</f>
        <v>3.249062584560658E-2</v>
      </c>
      <c r="S6" s="431">
        <f>+macro!AU83</f>
        <v>3.3340109778410065E-2</v>
      </c>
      <c r="T6" s="431">
        <f>+macro!AV83</f>
        <v>4.0137769140482282E-2</v>
      </c>
      <c r="U6" s="431">
        <f>+macro!AW83</f>
        <v>3.1500745747352177E-2</v>
      </c>
      <c r="V6" s="431">
        <f>+macro!AX83</f>
        <v>4.6668788258859228E-2</v>
      </c>
      <c r="W6" s="431">
        <f>+macro!AY83</f>
        <v>5.8786056228511629E-2</v>
      </c>
      <c r="X6" s="431">
        <f>+macro!AZ83</f>
        <v>6.0001479919344236E-2</v>
      </c>
      <c r="Y6" s="431">
        <f>+macro!BA83</f>
        <v>7.3551079426380284E-2</v>
      </c>
      <c r="Z6" s="431">
        <f>+macro!BB83</f>
        <v>7.453677207039644E-2</v>
      </c>
      <c r="AA6" s="431">
        <f>+macro!BC83</f>
        <v>7.9863384593604536E-2</v>
      </c>
      <c r="AB6" s="431">
        <f>+macro!BD83</f>
        <v>8.6997495658851065E-2</v>
      </c>
      <c r="AC6" s="431">
        <f>+macro!BE83</f>
        <v>7.8170286766460872E-2</v>
      </c>
      <c r="AD6" s="431">
        <f>+macro!BF83</f>
        <v>6.8492580663953584E-2</v>
      </c>
      <c r="AE6" s="431">
        <f>+macro!BG83</f>
        <v>5.0555537347186208E-2</v>
      </c>
      <c r="AF6" s="431">
        <f>+macro!BH83</f>
        <v>4.4544878021369305E-2</v>
      </c>
      <c r="AG6" s="431">
        <f>+macro!BI83</f>
        <v>4.6608896408861566E-2</v>
      </c>
      <c r="AH6" s="431">
        <f>+macro!BJ83</f>
        <v>4.4209394885854625E-2</v>
      </c>
      <c r="AI6" s="431">
        <f>+macro!BK83</f>
        <v>4.9760556569485415E-2</v>
      </c>
      <c r="AJ6" s="431">
        <f>+macro!BL83</f>
        <v>4.5803873347679103E-2</v>
      </c>
      <c r="AK6" s="431">
        <f>+macro!BM83</f>
        <v>4.2123393743437321E-2</v>
      </c>
      <c r="AL6" s="431">
        <f>+macro!BN83</f>
        <v>3.8011412374594489E-2</v>
      </c>
      <c r="AM6" s="431">
        <f>+macro!BO83</f>
        <v>4.3174287115324672E-2</v>
      </c>
      <c r="AN6" s="431">
        <f>+macro!BP83</f>
        <v>3.7602880658436089E-2</v>
      </c>
      <c r="AO6" s="432">
        <f>+macro!BQ83</f>
        <v>3.6919441242778017E-2</v>
      </c>
      <c r="AP6" s="432">
        <f>+macro!BR83</f>
        <v>3.5000000000000142E-2</v>
      </c>
      <c r="AQ6" s="432">
        <f>+macro!BS83</f>
        <v>3.4999999999999698E-2</v>
      </c>
      <c r="AR6" s="432">
        <f>+macro!BT83</f>
        <v>3.4999999999999698E-2</v>
      </c>
      <c r="AS6" s="432">
        <f>+macro!BU83</f>
        <v>3.499999999999992E-2</v>
      </c>
      <c r="AU6" s="432">
        <v>3.6919441242778017E-2</v>
      </c>
      <c r="BE6" s="437">
        <v>0.04</v>
      </c>
      <c r="BF6" s="437">
        <v>3.6299999999999999E-2</v>
      </c>
      <c r="BG6" s="437">
        <v>3.9699999999999999E-2</v>
      </c>
      <c r="BH6" s="437">
        <v>5.1200000000000002E-2</v>
      </c>
      <c r="BI6" s="437">
        <v>5.3100000000000001E-2</v>
      </c>
      <c r="BJ6" s="437">
        <v>4.1599999999999998E-2</v>
      </c>
      <c r="BK6" s="437">
        <v>3.4099999999999998E-2</v>
      </c>
      <c r="BL6" s="438">
        <f>+macro!CZ83</f>
        <v>3.5682148898864119E-2</v>
      </c>
      <c r="BM6" s="438">
        <f>+macro!DA83</f>
        <v>3.9741486095010048E-2</v>
      </c>
      <c r="BN6" s="438">
        <f>+macro!DB83</f>
        <v>4.0812891473210433E-2</v>
      </c>
      <c r="BO6" s="438">
        <f>+macro!DC83</f>
        <v>2.1307733773755944E-2</v>
      </c>
      <c r="BP6" s="438">
        <f>+macro!DD83</f>
        <v>3.3602555060934236E-2</v>
      </c>
      <c r="BQ6" s="438">
        <f>+macro!DE83</f>
        <v>6.7731070524451598E-2</v>
      </c>
      <c r="BR6" s="438">
        <f>+macro!DF83</f>
        <v>4.8305280499506775E-2</v>
      </c>
      <c r="BS6" s="438">
        <f>+macro!DG83</f>
        <v>2.8285769753445988E-2</v>
      </c>
      <c r="BT6" s="438">
        <f>+macro!DH83</f>
        <v>3.1500745747352177E-2</v>
      </c>
      <c r="BU6" s="438">
        <f>+macro!DI83</f>
        <v>7.3551079426380284E-2</v>
      </c>
      <c r="BV6" s="438">
        <f>+macro!DJ83</f>
        <v>7.8170286766460872E-2</v>
      </c>
      <c r="BW6" s="438">
        <f>+macro!DK83</f>
        <v>4.6608896408861566E-2</v>
      </c>
      <c r="BX6" s="438">
        <f>+macro!DL83</f>
        <v>4.2123393743437321E-2</v>
      </c>
      <c r="BY6" s="438">
        <f>+macro!DM83</f>
        <v>3.6919441242778017E-2</v>
      </c>
      <c r="BZ6" s="438">
        <f>+macro!DN83</f>
        <v>3.499999999999992E-2</v>
      </c>
      <c r="CA6" s="432">
        <f>+macro!DO83</f>
        <v>3.499999999999992E-2</v>
      </c>
      <c r="CB6" s="432">
        <f>+macro!DP83</f>
        <v>3.499999999999992E-2</v>
      </c>
      <c r="CC6" s="432">
        <f>+macro!DQ83</f>
        <v>3.499999999999992E-2</v>
      </c>
      <c r="CD6" s="432">
        <f>+macro!DR83</f>
        <v>3.499999999999992E-2</v>
      </c>
    </row>
    <row r="7" spans="1:82" ht="17.25" customHeight="1">
      <c r="A7" s="423" t="s">
        <v>185</v>
      </c>
      <c r="B7" s="436">
        <f>+macro!AD76</f>
        <v>8.9161609655219465E-3</v>
      </c>
      <c r="C7" s="436">
        <f>+macro!AE76</f>
        <v>1.0792865347959424E-2</v>
      </c>
      <c r="D7" s="436">
        <f>+macro!AF76</f>
        <v>1.5486446201652182E-2</v>
      </c>
      <c r="E7" s="436">
        <f>+macro!AG76</f>
        <v>2.0507989115119862E-2</v>
      </c>
      <c r="F7" s="436">
        <f>+macro!AH76</f>
        <v>2.44119623655914E-2</v>
      </c>
      <c r="G7" s="436">
        <f>+macro!AI76</f>
        <v>1.6405658099591269E-2</v>
      </c>
      <c r="H7" s="436">
        <f>+macro!AJ76</f>
        <v>2.1805652303711787E-2</v>
      </c>
      <c r="I7" s="436">
        <f>+macro!AK76</f>
        <v>2.1299307195522532E-2</v>
      </c>
      <c r="J7" s="436">
        <f>+macro!AL76</f>
        <v>2.3309497646499366E-2</v>
      </c>
      <c r="K7" s="436">
        <f>+macro!AM76</f>
        <v>2.8075506935940187E-2</v>
      </c>
      <c r="L7" s="436">
        <f>+macro!AN76</f>
        <v>2.3320551058088279E-2</v>
      </c>
      <c r="M7" s="436">
        <f>+macro!AO76</f>
        <v>2.0023809043401064E-2</v>
      </c>
      <c r="N7" s="431">
        <f>+macro!AP76</f>
        <v>1.8831863513063984E-2</v>
      </c>
      <c r="O7" s="431">
        <f>+macro!AQ76</f>
        <v>1.671194894390049E-2</v>
      </c>
      <c r="P7" s="431">
        <f>+macro!AR76</f>
        <v>1.6844977040391562E-2</v>
      </c>
      <c r="Q7" s="431">
        <f>+macro!AS76</f>
        <v>2.3195274699624457E-2</v>
      </c>
      <c r="R7" s="431">
        <f>+macro!AT76</f>
        <v>1.4940399642909163E-2</v>
      </c>
      <c r="S7" s="431">
        <f>+macro!AU76</f>
        <v>7.1665628318304808E-3</v>
      </c>
      <c r="T7" s="431">
        <f>+macro!AV76</f>
        <v>1.3910228912373812E-2</v>
      </c>
      <c r="U7" s="431">
        <f>+macro!AW76</f>
        <v>1.3204191315779434E-2</v>
      </c>
      <c r="V7" s="431">
        <f>+macro!AX76</f>
        <v>2.6236457477642139E-2</v>
      </c>
      <c r="W7" s="431">
        <f>+macro!AY76</f>
        <v>5.317418943207719E-2</v>
      </c>
      <c r="X7" s="431">
        <f>+macro!AZ76</f>
        <v>5.363523425270289E-2</v>
      </c>
      <c r="Y7" s="431">
        <f>+macro!BA76</f>
        <v>7.1594573451124743E-2</v>
      </c>
      <c r="Z7" s="431">
        <f>+macro!BB76</f>
        <v>8.5407801485385848E-2</v>
      </c>
      <c r="AA7" s="431">
        <f>+macro!BC76</f>
        <v>8.9992981419231066E-2</v>
      </c>
      <c r="AB7" s="431">
        <f>+macro!BD76</f>
        <v>8.2057515824517591E-2</v>
      </c>
      <c r="AC7" s="431">
        <f>+macro!BE76</f>
        <v>6.4108316773858087E-2</v>
      </c>
      <c r="AD7" s="431">
        <f>+macro!BF76</f>
        <v>4.9313486417571273E-2</v>
      </c>
      <c r="AE7" s="431">
        <f>+macro!BG76</f>
        <v>3.0592533347792994E-2</v>
      </c>
      <c r="AF7" s="431">
        <f>+macro!BH76</f>
        <v>3.6950823322234427E-2</v>
      </c>
      <c r="AG7" s="431">
        <f>+macro!BI76</f>
        <v>3.322200208829762E-2</v>
      </c>
      <c r="AH7" s="431">
        <f>+macro!BJ76</f>
        <v>3.4690014354717524E-2</v>
      </c>
      <c r="AI7" s="431">
        <f>+macro!BK76</f>
        <v>2.9700853998204435E-2</v>
      </c>
      <c r="AJ7" s="431">
        <f>+macro!BL76</f>
        <v>2.4325414641446441E-2</v>
      </c>
      <c r="AK7" s="431">
        <f>+macro!BM76</f>
        <v>2.872366268806581E-2</v>
      </c>
      <c r="AL7" s="431">
        <f>+macro!BN76</f>
        <v>2.4055852640280317E-2</v>
      </c>
      <c r="AM7" s="431">
        <f>+macro!BO76</f>
        <v>2.6726833178446263E-2</v>
      </c>
      <c r="AN7" s="431">
        <f>+macro!BP76</f>
        <v>3.0226996261723871E-2</v>
      </c>
      <c r="AO7" s="432">
        <f>+macro!BQ76</f>
        <v>2.338768840344696E-2</v>
      </c>
      <c r="AP7" s="432">
        <f>+macro!BR76</f>
        <v>2.829999999999977E-2</v>
      </c>
      <c r="AQ7" s="432">
        <f>+macro!BS76</f>
        <v>2.9899999999999816E-2</v>
      </c>
      <c r="AR7" s="432">
        <f>+macro!BT76</f>
        <v>2.7999999999999803E-2</v>
      </c>
      <c r="AS7" s="432">
        <f>+macro!BU76</f>
        <v>2.6799999999999713E-2</v>
      </c>
      <c r="AU7" s="432">
        <v>2.338768840344696E-2</v>
      </c>
      <c r="BE7" s="437"/>
      <c r="BF7" s="437"/>
      <c r="BG7" s="437"/>
      <c r="BH7" s="437">
        <v>-1.4500000000000001E-2</v>
      </c>
      <c r="BI7" s="437">
        <v>8.9999999999999802E-4</v>
      </c>
      <c r="BJ7" s="437">
        <v>1.6299999999999999E-2</v>
      </c>
      <c r="BK7" s="437">
        <v>3.1699999999999999E-2</v>
      </c>
      <c r="BL7" s="438">
        <f>+macro!CZ76</f>
        <v>1.7595049796895523E-2</v>
      </c>
      <c r="BM7" s="438">
        <f>+macro!DA76</f>
        <v>1.5128383667573297E-2</v>
      </c>
      <c r="BN7" s="438">
        <f>+macro!DB76</f>
        <v>6.5312139196231911E-3</v>
      </c>
      <c r="BO7" s="438">
        <f>+macro!DC76</f>
        <v>6.3872475153647912E-3</v>
      </c>
      <c r="BP7" s="438">
        <f>+macro!DD76</f>
        <v>2.0507989115119862E-2</v>
      </c>
      <c r="BQ7" s="438">
        <f>+macro!DE76</f>
        <v>2.1299307195522532E-2</v>
      </c>
      <c r="BR7" s="438">
        <f>+macro!DF76</f>
        <v>2.0023809043401064E-2</v>
      </c>
      <c r="BS7" s="438">
        <f>+macro!DG76</f>
        <v>2.3195274699624457E-2</v>
      </c>
      <c r="BT7" s="438">
        <f>+macro!DH76</f>
        <v>1.3204191315779434E-2</v>
      </c>
      <c r="BU7" s="438">
        <f>+macro!DI76</f>
        <v>7.1594573451124743E-2</v>
      </c>
      <c r="BV7" s="438">
        <f>+macro!DJ76</f>
        <v>6.4108316773858087E-2</v>
      </c>
      <c r="BW7" s="438">
        <f>+macro!DK76</f>
        <v>3.322200208829762E-2</v>
      </c>
      <c r="BX7" s="438">
        <f>+macro!DL76</f>
        <v>2.872366268806581E-2</v>
      </c>
      <c r="BY7" s="438">
        <f>+macro!DM76</f>
        <v>2.338768840344696E-2</v>
      </c>
      <c r="BZ7" s="438">
        <f>+macro!DN76</f>
        <v>2.6799999999999713E-2</v>
      </c>
      <c r="CA7" s="432">
        <f>+macro!DO76</f>
        <v>2.0000000000000018E-2</v>
      </c>
      <c r="CB7" s="432">
        <f>+macro!DP76</f>
        <v>2.0000000000000018E-2</v>
      </c>
      <c r="CC7" s="432">
        <f>+macro!DQ76</f>
        <v>2.0000000000000018E-2</v>
      </c>
      <c r="CD7" s="432">
        <f>+macro!DR76</f>
        <v>2.0000000000000018E-2</v>
      </c>
    </row>
    <row r="8" spans="1:82" s="441" customFormat="1" ht="17.25" customHeight="1">
      <c r="A8" s="439" t="s">
        <v>186</v>
      </c>
      <c r="B8" s="440">
        <f t="shared" ref="B8:AJ8" si="16">+B1</f>
        <v>42460</v>
      </c>
      <c r="C8" s="440">
        <f t="shared" si="16"/>
        <v>42551</v>
      </c>
      <c r="D8" s="440">
        <f t="shared" si="16"/>
        <v>42643</v>
      </c>
      <c r="E8" s="440">
        <f t="shared" si="16"/>
        <v>42735</v>
      </c>
      <c r="F8" s="440">
        <f t="shared" si="16"/>
        <v>42825</v>
      </c>
      <c r="G8" s="440">
        <f t="shared" si="16"/>
        <v>42916</v>
      </c>
      <c r="H8" s="440">
        <f t="shared" si="16"/>
        <v>43008</v>
      </c>
      <c r="I8" s="440">
        <f t="shared" si="16"/>
        <v>43100</v>
      </c>
      <c r="J8" s="440">
        <f t="shared" si="16"/>
        <v>43190</v>
      </c>
      <c r="K8" s="440">
        <f t="shared" si="16"/>
        <v>43281</v>
      </c>
      <c r="L8" s="440">
        <f t="shared" si="16"/>
        <v>43373</v>
      </c>
      <c r="M8" s="440">
        <f t="shared" si="16"/>
        <v>43465</v>
      </c>
      <c r="N8" s="440">
        <f t="shared" si="16"/>
        <v>43555</v>
      </c>
      <c r="O8" s="440">
        <f t="shared" si="16"/>
        <v>43646</v>
      </c>
      <c r="P8" s="440">
        <f t="shared" si="16"/>
        <v>43738</v>
      </c>
      <c r="Q8" s="440">
        <f t="shared" si="16"/>
        <v>43830</v>
      </c>
      <c r="R8" s="440">
        <f t="shared" si="16"/>
        <v>43921</v>
      </c>
      <c r="S8" s="440">
        <f t="shared" si="16"/>
        <v>44012</v>
      </c>
      <c r="T8" s="440">
        <f t="shared" si="16"/>
        <v>44104</v>
      </c>
      <c r="U8" s="440">
        <f t="shared" si="16"/>
        <v>44196</v>
      </c>
      <c r="V8" s="440">
        <f t="shared" si="16"/>
        <v>44286</v>
      </c>
      <c r="W8" s="440">
        <f t="shared" si="16"/>
        <v>44377</v>
      </c>
      <c r="X8" s="440">
        <f t="shared" si="16"/>
        <v>44469</v>
      </c>
      <c r="Y8" s="440">
        <f t="shared" si="16"/>
        <v>44561</v>
      </c>
      <c r="Z8" s="440">
        <f t="shared" si="16"/>
        <v>44651</v>
      </c>
      <c r="AA8" s="440">
        <f t="shared" si="16"/>
        <v>44742</v>
      </c>
      <c r="AB8" s="440">
        <f t="shared" si="16"/>
        <v>44834</v>
      </c>
      <c r="AC8" s="440">
        <f t="shared" si="16"/>
        <v>44925</v>
      </c>
      <c r="AD8" s="440">
        <f t="shared" si="16"/>
        <v>45016</v>
      </c>
      <c r="AE8" s="440">
        <f t="shared" si="16"/>
        <v>45107</v>
      </c>
      <c r="AF8" s="440">
        <f t="shared" si="16"/>
        <v>45199</v>
      </c>
      <c r="AG8" s="440">
        <f t="shared" si="16"/>
        <v>45291</v>
      </c>
      <c r="AH8" s="440">
        <f t="shared" si="16"/>
        <v>45382</v>
      </c>
      <c r="AI8" s="440">
        <f t="shared" si="16"/>
        <v>45473</v>
      </c>
      <c r="AJ8" s="440">
        <f t="shared" si="16"/>
        <v>45565</v>
      </c>
      <c r="AK8" s="440">
        <f>+AK1</f>
        <v>45657</v>
      </c>
      <c r="AL8" s="440">
        <f>+AL1</f>
        <v>45747</v>
      </c>
      <c r="AM8" s="440">
        <f>+AM1</f>
        <v>45838</v>
      </c>
      <c r="AN8" s="440">
        <f>+AN1</f>
        <v>45930</v>
      </c>
      <c r="AO8" s="440">
        <f>+AO1</f>
        <v>46022</v>
      </c>
      <c r="AP8" s="440">
        <f t="shared" ref="AP8:AS8" si="17">+AP1</f>
        <v>46112</v>
      </c>
      <c r="AQ8" s="440">
        <f t="shared" si="17"/>
        <v>46203</v>
      </c>
      <c r="AR8" s="440">
        <f t="shared" si="17"/>
        <v>46295</v>
      </c>
      <c r="AS8" s="440">
        <f t="shared" si="17"/>
        <v>46387</v>
      </c>
      <c r="AU8" s="440">
        <v>46022</v>
      </c>
      <c r="AW8" s="440">
        <f t="shared" ref="AW8:CD8" si="18">+AW$1</f>
        <v>35795</v>
      </c>
      <c r="AX8" s="440">
        <f t="shared" si="18"/>
        <v>36160</v>
      </c>
      <c r="AY8" s="440">
        <f t="shared" si="18"/>
        <v>36525</v>
      </c>
      <c r="AZ8" s="440">
        <f t="shared" si="18"/>
        <v>36891</v>
      </c>
      <c r="BA8" s="440">
        <f t="shared" si="18"/>
        <v>37256</v>
      </c>
      <c r="BB8" s="440">
        <f t="shared" si="18"/>
        <v>37621</v>
      </c>
      <c r="BC8" s="440">
        <f t="shared" si="18"/>
        <v>37986</v>
      </c>
      <c r="BD8" s="440">
        <f t="shared" si="18"/>
        <v>38352</v>
      </c>
      <c r="BE8" s="440">
        <f t="shared" si="18"/>
        <v>38717</v>
      </c>
      <c r="BF8" s="440">
        <f t="shared" si="18"/>
        <v>39082</v>
      </c>
      <c r="BG8" s="440">
        <f t="shared" si="18"/>
        <v>39447</v>
      </c>
      <c r="BH8" s="440">
        <f t="shared" si="18"/>
        <v>39813</v>
      </c>
      <c r="BI8" s="440">
        <f t="shared" si="18"/>
        <v>40178</v>
      </c>
      <c r="BJ8" s="440">
        <f t="shared" si="18"/>
        <v>40543</v>
      </c>
      <c r="BK8" s="440">
        <f t="shared" si="18"/>
        <v>40908</v>
      </c>
      <c r="BL8" s="440">
        <f t="shared" si="18"/>
        <v>41274</v>
      </c>
      <c r="BM8" s="440">
        <f t="shared" si="18"/>
        <v>41639</v>
      </c>
      <c r="BN8" s="440">
        <f t="shared" si="18"/>
        <v>42004</v>
      </c>
      <c r="BO8" s="440">
        <f t="shared" si="18"/>
        <v>42369</v>
      </c>
      <c r="BP8" s="440">
        <f t="shared" si="18"/>
        <v>42735</v>
      </c>
      <c r="BQ8" s="440">
        <f t="shared" si="18"/>
        <v>43100</v>
      </c>
      <c r="BR8" s="440">
        <f t="shared" si="18"/>
        <v>43465</v>
      </c>
      <c r="BS8" s="440">
        <f t="shared" si="18"/>
        <v>43830</v>
      </c>
      <c r="BT8" s="440">
        <f t="shared" si="18"/>
        <v>44196</v>
      </c>
      <c r="BU8" s="440">
        <f t="shared" si="18"/>
        <v>44561</v>
      </c>
      <c r="BV8" s="440">
        <f t="shared" si="18"/>
        <v>44926</v>
      </c>
      <c r="BW8" s="440">
        <f t="shared" si="18"/>
        <v>45291</v>
      </c>
      <c r="BX8" s="440">
        <f t="shared" si="18"/>
        <v>45657</v>
      </c>
      <c r="BY8" s="440">
        <f t="shared" si="18"/>
        <v>46022</v>
      </c>
      <c r="BZ8" s="440">
        <f t="shared" si="18"/>
        <v>46387</v>
      </c>
      <c r="CA8" s="440">
        <f t="shared" si="18"/>
        <v>46752</v>
      </c>
      <c r="CB8" s="440">
        <f t="shared" si="18"/>
        <v>47118</v>
      </c>
      <c r="CC8" s="440">
        <f t="shared" si="18"/>
        <v>47483</v>
      </c>
      <c r="CD8" s="440">
        <f t="shared" si="18"/>
        <v>47848</v>
      </c>
    </row>
    <row r="9" spans="1:82" ht="17.25" customHeight="1">
      <c r="B9" s="423">
        <v>3</v>
      </c>
      <c r="C9" s="442">
        <f>+B9+3</f>
        <v>6</v>
      </c>
      <c r="D9" s="442">
        <f t="shared" ref="D9:AJ9" si="19">+C9+3</f>
        <v>9</v>
      </c>
      <c r="E9" s="442">
        <f t="shared" si="19"/>
        <v>12</v>
      </c>
      <c r="F9" s="442">
        <f t="shared" si="19"/>
        <v>15</v>
      </c>
      <c r="G9" s="442">
        <f t="shared" si="19"/>
        <v>18</v>
      </c>
      <c r="H9" s="442">
        <f t="shared" si="19"/>
        <v>21</v>
      </c>
      <c r="I9" s="442">
        <f t="shared" si="19"/>
        <v>24</v>
      </c>
      <c r="J9" s="442">
        <f t="shared" si="19"/>
        <v>27</v>
      </c>
      <c r="K9" s="442">
        <f t="shared" si="19"/>
        <v>30</v>
      </c>
      <c r="L9" s="442">
        <f t="shared" si="19"/>
        <v>33</v>
      </c>
      <c r="M9" s="442">
        <f t="shared" si="19"/>
        <v>36</v>
      </c>
      <c r="N9" s="442">
        <f t="shared" si="19"/>
        <v>39</v>
      </c>
      <c r="O9" s="442">
        <f t="shared" si="19"/>
        <v>42</v>
      </c>
      <c r="P9" s="442">
        <f t="shared" si="19"/>
        <v>45</v>
      </c>
      <c r="Q9" s="442">
        <f t="shared" si="19"/>
        <v>48</v>
      </c>
      <c r="R9" s="442">
        <f t="shared" si="19"/>
        <v>51</v>
      </c>
      <c r="S9" s="442">
        <f t="shared" si="19"/>
        <v>54</v>
      </c>
      <c r="T9" s="442">
        <f t="shared" si="19"/>
        <v>57</v>
      </c>
      <c r="U9" s="442">
        <f t="shared" si="19"/>
        <v>60</v>
      </c>
      <c r="V9" s="442">
        <f t="shared" si="19"/>
        <v>63</v>
      </c>
      <c r="W9" s="442">
        <f t="shared" si="19"/>
        <v>66</v>
      </c>
      <c r="X9" s="442">
        <f t="shared" si="19"/>
        <v>69</v>
      </c>
      <c r="Y9" s="442">
        <f t="shared" si="19"/>
        <v>72</v>
      </c>
      <c r="Z9" s="442">
        <f t="shared" si="19"/>
        <v>75</v>
      </c>
      <c r="AA9" s="442">
        <f t="shared" si="19"/>
        <v>78</v>
      </c>
      <c r="AB9" s="442">
        <f t="shared" si="19"/>
        <v>81</v>
      </c>
      <c r="AC9" s="442">
        <f t="shared" si="19"/>
        <v>84</v>
      </c>
      <c r="AD9" s="442">
        <f t="shared" si="19"/>
        <v>87</v>
      </c>
      <c r="AE9" s="442">
        <f t="shared" si="19"/>
        <v>90</v>
      </c>
      <c r="AF9" s="442">
        <f t="shared" si="19"/>
        <v>93</v>
      </c>
      <c r="AG9" s="442">
        <f t="shared" si="19"/>
        <v>96</v>
      </c>
      <c r="AH9" s="442">
        <f t="shared" si="19"/>
        <v>99</v>
      </c>
      <c r="AI9" s="442">
        <f t="shared" si="19"/>
        <v>102</v>
      </c>
      <c r="AJ9" s="442">
        <f t="shared" si="19"/>
        <v>105</v>
      </c>
      <c r="AK9" s="442">
        <f>+AJ9+3</f>
        <v>108</v>
      </c>
      <c r="AL9" s="442">
        <f>+AK9+3</f>
        <v>111</v>
      </c>
      <c r="AM9" s="442">
        <f>+AL9+3</f>
        <v>114</v>
      </c>
      <c r="AN9" s="442">
        <f>+AM9+3</f>
        <v>117</v>
      </c>
      <c r="AO9" s="442">
        <f>+AN9+3</f>
        <v>120</v>
      </c>
      <c r="AP9" s="443">
        <f t="shared" ref="AP9:AS9" si="20">+AO9+3</f>
        <v>123</v>
      </c>
      <c r="AQ9" s="443">
        <f t="shared" si="20"/>
        <v>126</v>
      </c>
      <c r="AR9" s="443">
        <f t="shared" si="20"/>
        <v>129</v>
      </c>
      <c r="AS9" s="443">
        <f t="shared" si="20"/>
        <v>132</v>
      </c>
      <c r="AU9" s="443">
        <v>120</v>
      </c>
      <c r="CA9" s="444"/>
      <c r="CB9" s="444"/>
      <c r="CC9" s="444"/>
      <c r="CD9" s="444"/>
    </row>
    <row r="10" spans="1:82" ht="17.25" customHeight="1">
      <c r="B10" s="445"/>
      <c r="C10" s="445"/>
      <c r="D10" s="445"/>
      <c r="E10" s="445"/>
      <c r="F10" s="431"/>
      <c r="G10" s="431"/>
      <c r="H10" s="431"/>
      <c r="I10" s="431"/>
      <c r="J10" s="431"/>
      <c r="K10" s="431"/>
      <c r="L10" s="431"/>
      <c r="M10" s="431"/>
      <c r="N10" s="431"/>
      <c r="O10" s="431"/>
      <c r="P10" s="431"/>
      <c r="Q10" s="431"/>
      <c r="R10" s="431"/>
      <c r="S10" s="431"/>
      <c r="T10" s="431"/>
      <c r="U10" s="431"/>
      <c r="V10" s="431"/>
      <c r="Z10" s="431"/>
      <c r="AA10" s="431"/>
      <c r="AB10" s="431"/>
      <c r="AC10" s="431"/>
      <c r="AD10" s="431"/>
      <c r="AE10" s="431"/>
      <c r="AF10" s="431"/>
      <c r="AG10" s="431"/>
      <c r="AH10" s="431"/>
      <c r="AI10" s="431"/>
      <c r="AJ10" s="431"/>
      <c r="AK10" s="431"/>
      <c r="AL10" s="431"/>
      <c r="AM10" s="431"/>
      <c r="AN10" s="431"/>
      <c r="AO10" s="431"/>
      <c r="AP10" s="432"/>
      <c r="AQ10" s="432"/>
      <c r="AR10" s="432"/>
      <c r="AS10" s="432"/>
      <c r="AU10" s="432"/>
      <c r="BO10" s="445"/>
      <c r="BP10" s="445"/>
      <c r="BQ10" s="445"/>
      <c r="BR10" s="445"/>
      <c r="BS10" s="445"/>
      <c r="BT10" s="445"/>
      <c r="BU10" s="445"/>
      <c r="BV10" s="445"/>
      <c r="BW10" s="445"/>
      <c r="BX10" s="445"/>
      <c r="BY10" s="445"/>
      <c r="BZ10" s="437">
        <f>+BZ11/BV11-1</f>
        <v>0.11029620706551113</v>
      </c>
      <c r="CA10" s="444"/>
      <c r="CB10" s="444"/>
      <c r="CC10" s="444"/>
      <c r="CD10" s="444"/>
    </row>
    <row r="11" spans="1:82" s="449" customFormat="1" ht="17.25" customHeight="1">
      <c r="A11" s="446" t="s">
        <v>187</v>
      </c>
      <c r="B11" s="447">
        <f>+PROJ!B3</f>
        <v>8728.3169999999991</v>
      </c>
      <c r="C11" s="447">
        <f>+PROJ!C3</f>
        <v>8831.3529999999992</v>
      </c>
      <c r="D11" s="447">
        <f>+PROJ!D3</f>
        <v>8719.4570000000003</v>
      </c>
      <c r="E11" s="447">
        <f>+PROJ!E3</f>
        <v>9381.1679999999997</v>
      </c>
      <c r="F11" s="447">
        <f>+PROJ!F3</f>
        <v>9530.5079999999998</v>
      </c>
      <c r="G11" s="447">
        <f>+PROJ!G3</f>
        <v>9605.9050000000007</v>
      </c>
      <c r="H11" s="447">
        <f>+PROJ!H3</f>
        <v>9197.259</v>
      </c>
      <c r="I11" s="447">
        <f>+PROJ!I3</f>
        <v>9432.0879999999997</v>
      </c>
      <c r="J11" s="447">
        <f>+PROJ!J3</f>
        <v>10207.266</v>
      </c>
      <c r="K11" s="447">
        <f>+PROJ!K3</f>
        <v>10588.598</v>
      </c>
      <c r="L11" s="447">
        <f>+PROJ!L3</f>
        <v>9897</v>
      </c>
      <c r="M11" s="447">
        <f>+PROJ!M3</f>
        <v>10334</v>
      </c>
      <c r="N11" s="447">
        <f>+PROJ!N3</f>
        <v>11014</v>
      </c>
      <c r="O11" s="447">
        <f>+PROJ!O3</f>
        <v>11285.929</v>
      </c>
      <c r="P11" s="447">
        <f>+PROJ!P3</f>
        <v>10400</v>
      </c>
      <c r="Q11" s="447">
        <f>+PROJ!Q3</f>
        <v>10801</v>
      </c>
      <c r="R11" s="447">
        <f>+PROJ!R3</f>
        <v>11692.237999999999</v>
      </c>
      <c r="S11" s="447">
        <f>+PROJ!S3</f>
        <v>12337.259</v>
      </c>
      <c r="T11" s="447">
        <f>+PROJ!T3</f>
        <v>11097.119000000001</v>
      </c>
      <c r="U11" s="447">
        <f>+PROJ!U3</f>
        <v>11576.279</v>
      </c>
      <c r="V11" s="447">
        <f>+PROJ!V3</f>
        <v>12108.978999999999</v>
      </c>
      <c r="W11" s="447">
        <f>+PROJ!W3</f>
        <v>11722.218000000001</v>
      </c>
      <c r="X11" s="447">
        <f>+PROJ!X3</f>
        <v>11343.49</v>
      </c>
      <c r="Y11" s="447">
        <f>+PROJ!Y3</f>
        <v>11719.276</v>
      </c>
      <c r="Z11" s="447">
        <f>+PROJ!Z3</f>
        <v>12574</v>
      </c>
      <c r="AA11" s="447">
        <f>+PROJ!AA3</f>
        <v>12894.841</v>
      </c>
      <c r="AB11" s="447">
        <f>+PROJ!AB3</f>
        <v>12794</v>
      </c>
      <c r="AC11" s="447">
        <f>+PROJ!AC3</f>
        <v>12792.035</v>
      </c>
      <c r="AD11" s="447">
        <f>+PROJ!AD3</f>
        <v>13549</v>
      </c>
      <c r="AE11" s="447">
        <f>+PROJ!AE3</f>
        <v>13714.072</v>
      </c>
      <c r="AF11" s="447">
        <f>+PROJ!AF3</f>
        <v>12672.558999999999</v>
      </c>
      <c r="AG11" s="447">
        <f>+PROJ!AG3</f>
        <v>13371.423000000001</v>
      </c>
      <c r="AH11" s="447">
        <f>+PROJ!AH3</f>
        <v>13789.576999999999</v>
      </c>
      <c r="AI11" s="447">
        <f>+PROJ!AI3</f>
        <v>14068</v>
      </c>
      <c r="AJ11" s="447">
        <f>+PROJ!AJ3</f>
        <v>13154.636</v>
      </c>
      <c r="AK11" s="447">
        <f>+PROJ!AK3</f>
        <v>13770.504000000001</v>
      </c>
      <c r="AL11" s="447">
        <f>+PROJ!AL3</f>
        <v>13833</v>
      </c>
      <c r="AM11" s="447">
        <f>+PROJ!AM3</f>
        <v>14070</v>
      </c>
      <c r="AN11" s="447">
        <f>+PROJ!AN3</f>
        <v>13410</v>
      </c>
      <c r="AO11" s="447">
        <f>+PROJ!AO3</f>
        <v>14057.927</v>
      </c>
      <c r="AP11" s="448">
        <f t="shared" ref="AP11:AS11" si="21">+AL11*(1+AP12)</f>
        <v>14109.66</v>
      </c>
      <c r="AQ11" s="448">
        <f t="shared" si="21"/>
        <v>14421.749999999998</v>
      </c>
      <c r="AR11" s="448">
        <f t="shared" si="21"/>
        <v>13745.249999999998</v>
      </c>
      <c r="AS11" s="448">
        <f t="shared" si="21"/>
        <v>14409.375174999999</v>
      </c>
      <c r="AU11" s="448">
        <v>13977.06156</v>
      </c>
      <c r="AW11" s="450">
        <f>+PROJ!AW3</f>
        <v>10305.475</v>
      </c>
      <c r="AX11" s="450">
        <f>+PROJ!AX3</f>
        <v>12289.726000000001</v>
      </c>
      <c r="AY11" s="450">
        <f>+PROJ!AY3</f>
        <v>13868.222</v>
      </c>
      <c r="AZ11" s="450">
        <f>+PROJ!AZ3</f>
        <v>15906.374</v>
      </c>
      <c r="BA11" s="450">
        <f>+PROJ!BA3</f>
        <v>15633.955</v>
      </c>
      <c r="BB11" s="450">
        <f>+PROJ!BB3</f>
        <v>16096.04</v>
      </c>
      <c r="BC11" s="450">
        <f>+PROJ!BC3</f>
        <v>17100.169000000002</v>
      </c>
      <c r="BD11" s="450">
        <f>+PROJ!BD3</f>
        <v>19798.909</v>
      </c>
      <c r="BE11" s="450">
        <f>+PROJ!BE3</f>
        <v>21983.114000000001</v>
      </c>
      <c r="BF11" s="450">
        <f>+PROJ!BF3</f>
        <v>20084.472000000002</v>
      </c>
      <c r="BG11" s="450">
        <f>+PROJ!BG3</f>
        <v>21480.233</v>
      </c>
      <c r="BH11" s="450">
        <f>+PROJ!BH3</f>
        <v>23051.522000000001</v>
      </c>
      <c r="BI11" s="450">
        <f>+PROJ!BI3</f>
        <v>24702.206999999999</v>
      </c>
      <c r="BJ11" s="450">
        <f>+PROJ!BJ3</f>
        <v>26196.519</v>
      </c>
      <c r="BK11" s="450">
        <f>+PROJ!BK3</f>
        <v>26732.383000000002</v>
      </c>
      <c r="BL11" s="450">
        <f>+PROJ!BL3</f>
        <v>29288.626</v>
      </c>
      <c r="BM11" s="450">
        <f>+PROJ!BM3</f>
        <v>29677.516</v>
      </c>
      <c r="BN11" s="450">
        <f>+PROJ!BN3</f>
        <v>29106.852999999999</v>
      </c>
      <c r="BO11" s="450">
        <f>+PROJ!BO3</f>
        <v>32206.234</v>
      </c>
      <c r="BP11" s="450">
        <f>+PROJ!BP3</f>
        <v>35660.294999999998</v>
      </c>
      <c r="BQ11" s="450">
        <f>+PROJ!BQ3</f>
        <v>37765.759999999995</v>
      </c>
      <c r="BR11" s="450">
        <f>+PROJ!BR3</f>
        <v>41026.864000000001</v>
      </c>
      <c r="BS11" s="450">
        <f>+PROJ!BS3</f>
        <v>43500.929000000004</v>
      </c>
      <c r="BT11" s="450">
        <f>+PROJ!BT3</f>
        <v>46702.895000000004</v>
      </c>
      <c r="BU11" s="450">
        <f>+PROJ!BU3</f>
        <v>46893.962999999996</v>
      </c>
      <c r="BV11" s="450">
        <f>+SUMIFS($A11:$AO11,$A$1:$AO$1,"&lt;="&amp;BV$1,$A$1:$AO$1,"&gt;"&amp;BU$1)</f>
        <v>51054.876000000004</v>
      </c>
      <c r="BW11" s="450">
        <f>+SUMIFS($A11:$AO11,$A$1:$AO$1,"&lt;="&amp;BW$1,$A$1:$AO$1,"&gt;"&amp;BV$1)</f>
        <v>53307.054000000004</v>
      </c>
      <c r="BX11" s="450">
        <f>+SUMIFS($A11:$AO11,$A$1:$AO$1,"&lt;="&amp;BX$1,$A$1:$AO$1,"&gt;"&amp;BW$1)</f>
        <v>54782.716999999997</v>
      </c>
      <c r="BY11" s="450">
        <f>+SUMIFS($A11:$AS11,$A$1:$AS$1,"&lt;="&amp;BY$1,$A$1:$AS$1,"&gt;"&amp;BX$1)</f>
        <v>55370.926999999996</v>
      </c>
      <c r="BZ11" s="450">
        <f>+SUMIFS($A11:$AS11,$A$1:$AS$1,"&lt;="&amp;BZ$1,$A$1:$AS$1,"&gt;"&amp;BY$1)</f>
        <v>56686.035174999997</v>
      </c>
      <c r="CA11" s="451">
        <f>+BZ11*(1+CA12)</f>
        <v>57819.7558785</v>
      </c>
      <c r="CB11" s="451">
        <f>+CA11*(1+CB12)</f>
        <v>58976.150996069999</v>
      </c>
      <c r="CC11" s="451">
        <f>+CB11*(1+CC12)</f>
        <v>60155.674015991397</v>
      </c>
      <c r="CD11" s="451">
        <f>+CC11*(1+CD12)</f>
        <v>61358.787496311226</v>
      </c>
    </row>
    <row r="12" spans="1:82" s="452" customFormat="1" ht="17.25" customHeight="1">
      <c r="A12" s="452" t="s">
        <v>51</v>
      </c>
      <c r="F12" s="431">
        <f t="shared" ref="F12:AJ12" si="22">F11/B11-1</f>
        <v>9.1906721536351155E-2</v>
      </c>
      <c r="G12" s="431">
        <f t="shared" si="22"/>
        <v>8.7704794497513783E-2</v>
      </c>
      <c r="H12" s="431">
        <f t="shared" si="22"/>
        <v>5.4797219597504609E-2</v>
      </c>
      <c r="I12" s="431">
        <f t="shared" si="22"/>
        <v>5.4278955456292799E-3</v>
      </c>
      <c r="J12" s="431">
        <f t="shared" si="22"/>
        <v>7.1009646075529176E-2</v>
      </c>
      <c r="K12" s="431">
        <f t="shared" si="22"/>
        <v>0.1023009284393297</v>
      </c>
      <c r="L12" s="431">
        <f t="shared" si="22"/>
        <v>7.608147166454704E-2</v>
      </c>
      <c r="M12" s="431">
        <f t="shared" si="22"/>
        <v>9.5621669348292748E-2</v>
      </c>
      <c r="N12" s="431">
        <f t="shared" si="22"/>
        <v>7.9035267622103778E-2</v>
      </c>
      <c r="O12" s="431">
        <f t="shared" si="22"/>
        <v>6.5856782928202628E-2</v>
      </c>
      <c r="P12" s="431">
        <f t="shared" si="22"/>
        <v>5.0823481863190967E-2</v>
      </c>
      <c r="Q12" s="431">
        <f t="shared" si="22"/>
        <v>4.5190632862395885E-2</v>
      </c>
      <c r="R12" s="431">
        <f t="shared" si="22"/>
        <v>6.1579625930633597E-2</v>
      </c>
      <c r="S12" s="431">
        <f t="shared" si="22"/>
        <v>9.3154050499520302E-2</v>
      </c>
      <c r="T12" s="431">
        <f t="shared" si="22"/>
        <v>6.7030673076923231E-2</v>
      </c>
      <c r="U12" s="431">
        <f t="shared" si="22"/>
        <v>7.1778446440144528E-2</v>
      </c>
      <c r="V12" s="431">
        <f t="shared" si="22"/>
        <v>3.5642534816687776E-2</v>
      </c>
      <c r="W12" s="431">
        <f t="shared" si="22"/>
        <v>-4.9852321330045801E-2</v>
      </c>
      <c r="X12" s="431">
        <f t="shared" si="22"/>
        <v>2.2201347935441484E-2</v>
      </c>
      <c r="Y12" s="431">
        <f t="shared" si="22"/>
        <v>1.2352587562894701E-2</v>
      </c>
      <c r="Z12" s="431">
        <f t="shared" si="22"/>
        <v>3.8402990045651286E-2</v>
      </c>
      <c r="AA12" s="431">
        <f t="shared" si="22"/>
        <v>0.10003422560474462</v>
      </c>
      <c r="AB12" s="431">
        <f t="shared" si="22"/>
        <v>0.1278715809684674</v>
      </c>
      <c r="AC12" s="431">
        <f t="shared" si="22"/>
        <v>9.1537992620021935E-2</v>
      </c>
      <c r="AD12" s="431">
        <f t="shared" si="22"/>
        <v>7.7540957531414101E-2</v>
      </c>
      <c r="AE12" s="431">
        <f t="shared" si="22"/>
        <v>6.3531686819558342E-2</v>
      </c>
      <c r="AF12" s="431">
        <f t="shared" si="22"/>
        <v>-9.4920275128966836E-3</v>
      </c>
      <c r="AG12" s="431">
        <f>AG11/AC11-1</f>
        <v>4.5292871697114823E-2</v>
      </c>
      <c r="AH12" s="431">
        <f t="shared" si="22"/>
        <v>1.7756070558712755E-2</v>
      </c>
      <c r="AI12" s="431">
        <f t="shared" si="22"/>
        <v>2.5807652169246298E-2</v>
      </c>
      <c r="AJ12" s="431">
        <f t="shared" si="22"/>
        <v>3.8041014447042665E-2</v>
      </c>
      <c r="AK12" s="431">
        <f>AK11/AG11-1</f>
        <v>2.9845813717807035E-2</v>
      </c>
      <c r="AL12" s="431">
        <f>AL11/AH11-1</f>
        <v>3.1489725899496168E-3</v>
      </c>
      <c r="AM12" s="431">
        <f>AM11/AI11-1</f>
        <v>1.4216661927779484E-4</v>
      </c>
      <c r="AN12" s="431">
        <f>AN11/AJ11-1</f>
        <v>1.9412471770408501E-2</v>
      </c>
      <c r="AO12" s="431">
        <f>AO11/AK11-1</f>
        <v>2.0872366036856604E-2</v>
      </c>
      <c r="AP12" s="453">
        <f t="shared" ref="AP12:AS12" si="23">+AP19</f>
        <v>0.02</v>
      </c>
      <c r="AQ12" s="453">
        <f t="shared" si="23"/>
        <v>2.5000000000000001E-2</v>
      </c>
      <c r="AR12" s="453">
        <f t="shared" si="23"/>
        <v>2.5000000000000001E-2</v>
      </c>
      <c r="AS12" s="453">
        <f t="shared" si="23"/>
        <v>2.5000000000000001E-2</v>
      </c>
      <c r="AU12" s="453">
        <v>1.4999999999999999E-2</v>
      </c>
      <c r="AX12" s="438">
        <f t="shared" ref="AX12:BR12" si="24">AX11/AW11-1</f>
        <v>0.1925433810668602</v>
      </c>
      <c r="AY12" s="438">
        <f t="shared" si="24"/>
        <v>0.12844029232222098</v>
      </c>
      <c r="AZ12" s="438">
        <f t="shared" si="24"/>
        <v>0.14696563121069151</v>
      </c>
      <c r="BA12" s="438">
        <f t="shared" si="24"/>
        <v>-1.7126404798478934E-2</v>
      </c>
      <c r="BB12" s="438">
        <f t="shared" si="24"/>
        <v>2.9556500578388656E-2</v>
      </c>
      <c r="BC12" s="438">
        <f t="shared" si="24"/>
        <v>6.2383604911518731E-2</v>
      </c>
      <c r="BD12" s="438">
        <f t="shared" si="24"/>
        <v>0.15781949289507002</v>
      </c>
      <c r="BE12" s="438">
        <f t="shared" si="24"/>
        <v>0.11031946255220437</v>
      </c>
      <c r="BF12" s="438">
        <f t="shared" si="24"/>
        <v>-8.6368200610705048E-2</v>
      </c>
      <c r="BG12" s="438">
        <f t="shared" si="24"/>
        <v>6.9494532890882033E-2</v>
      </c>
      <c r="BH12" s="438">
        <f t="shared" si="24"/>
        <v>7.3150463498231177E-2</v>
      </c>
      <c r="BI12" s="438">
        <f t="shared" si="24"/>
        <v>7.160850376821104E-2</v>
      </c>
      <c r="BJ12" s="438">
        <f t="shared" si="24"/>
        <v>6.0493056349175678E-2</v>
      </c>
      <c r="BK12" s="438">
        <f t="shared" si="24"/>
        <v>2.0455542203908994E-2</v>
      </c>
      <c r="BL12" s="438">
        <f t="shared" si="24"/>
        <v>9.5623461627046158E-2</v>
      </c>
      <c r="BM12" s="438">
        <f t="shared" si="24"/>
        <v>1.3277850589508589E-2</v>
      </c>
      <c r="BN12" s="438">
        <f t="shared" si="24"/>
        <v>-1.9228799337518643E-2</v>
      </c>
      <c r="BO12" s="438">
        <f t="shared" si="24"/>
        <v>0.10648286161338016</v>
      </c>
      <c r="BP12" s="438">
        <f t="shared" si="24"/>
        <v>0.10724821163505172</v>
      </c>
      <c r="BQ12" s="438">
        <f t="shared" si="24"/>
        <v>5.904227657118355E-2</v>
      </c>
      <c r="BR12" s="438">
        <f t="shared" si="24"/>
        <v>8.6350810893253804E-2</v>
      </c>
      <c r="BS12" s="438">
        <f t="shared" ref="BS12:BX12" si="25">BS11/BR11-1</f>
        <v>6.0303536726570295E-2</v>
      </c>
      <c r="BT12" s="438">
        <f t="shared" si="25"/>
        <v>7.3606841821699964E-2</v>
      </c>
      <c r="BU12" s="438">
        <f t="shared" si="25"/>
        <v>4.0911382474253521E-3</v>
      </c>
      <c r="BV12" s="438">
        <f t="shared" si="25"/>
        <v>8.8730248710265913E-2</v>
      </c>
      <c r="BW12" s="438">
        <f t="shared" si="25"/>
        <v>4.4112887474254237E-2</v>
      </c>
      <c r="BX12" s="438">
        <f t="shared" si="25"/>
        <v>2.768232136782478E-2</v>
      </c>
      <c r="BY12" s="438">
        <f>BY11/BX11-1</f>
        <v>1.073714543950044E-2</v>
      </c>
      <c r="BZ12" s="438">
        <f>BZ11/BY11-1</f>
        <v>2.3750878777955009E-2</v>
      </c>
      <c r="CA12" s="453">
        <f>+CA19</f>
        <v>0.02</v>
      </c>
      <c r="CB12" s="453">
        <f>+CB19</f>
        <v>0.02</v>
      </c>
      <c r="CC12" s="453">
        <f>+CC19</f>
        <v>0.02</v>
      </c>
      <c r="CD12" s="453">
        <f>+CD19</f>
        <v>0.02</v>
      </c>
    </row>
    <row r="13" spans="1:82" ht="17.25" customHeight="1">
      <c r="A13" s="423" t="s">
        <v>183</v>
      </c>
      <c r="B13" s="430"/>
      <c r="C13" s="431">
        <f>C11/B11-1</f>
        <v>1.1804795815733904E-2</v>
      </c>
      <c r="D13" s="431">
        <f>D11/C11-1</f>
        <v>-1.2670312238679537E-2</v>
      </c>
      <c r="E13" s="431">
        <f>E11/D11-1</f>
        <v>7.5889014648503839E-2</v>
      </c>
      <c r="F13" s="431">
        <f>F11/E11-1</f>
        <v>1.5919126488300739E-2</v>
      </c>
      <c r="G13" s="431">
        <f>G11/F11-1</f>
        <v>7.91112079230194E-3</v>
      </c>
      <c r="H13" s="431">
        <f t="shared" ref="H13:AJ13" si="26">H11/G11-1</f>
        <v>-4.2541124443766676E-2</v>
      </c>
      <c r="I13" s="431">
        <f t="shared" si="26"/>
        <v>2.5532498323685315E-2</v>
      </c>
      <c r="J13" s="431">
        <f t="shared" si="26"/>
        <v>8.2185195897239272E-2</v>
      </c>
      <c r="K13" s="431">
        <f t="shared" si="26"/>
        <v>3.7358877489819475E-2</v>
      </c>
      <c r="L13" s="431">
        <f t="shared" si="26"/>
        <v>-6.5315351475237815E-2</v>
      </c>
      <c r="M13" s="431">
        <f t="shared" si="26"/>
        <v>4.4154794382136098E-2</v>
      </c>
      <c r="N13" s="431">
        <f t="shared" si="26"/>
        <v>6.5802206309270472E-2</v>
      </c>
      <c r="O13" s="431">
        <f t="shared" si="26"/>
        <v>2.4689395315053542E-2</v>
      </c>
      <c r="P13" s="431">
        <f t="shared" si="26"/>
        <v>-7.8498544515032798E-2</v>
      </c>
      <c r="Q13" s="431">
        <f t="shared" si="26"/>
        <v>3.8557692307692237E-2</v>
      </c>
      <c r="R13" s="431">
        <f t="shared" si="26"/>
        <v>8.2514396815109636E-2</v>
      </c>
      <c r="S13" s="431">
        <f t="shared" si="26"/>
        <v>5.5166598558804569E-2</v>
      </c>
      <c r="T13" s="431">
        <f t="shared" si="26"/>
        <v>-0.1005198966804538</v>
      </c>
      <c r="U13" s="431">
        <f t="shared" si="26"/>
        <v>4.3178774599064829E-2</v>
      </c>
      <c r="V13" s="431">
        <f t="shared" si="26"/>
        <v>4.601651359646719E-2</v>
      </c>
      <c r="W13" s="431">
        <f t="shared" si="26"/>
        <v>-3.1940017403614185E-2</v>
      </c>
      <c r="X13" s="431">
        <f t="shared" si="26"/>
        <v>-3.2308561400240188E-2</v>
      </c>
      <c r="Y13" s="431">
        <f t="shared" si="26"/>
        <v>3.3127899790981408E-2</v>
      </c>
      <c r="Z13" s="431">
        <f t="shared" si="26"/>
        <v>7.2933174370157339E-2</v>
      </c>
      <c r="AA13" s="431">
        <f t="shared" si="26"/>
        <v>2.5516223954191286E-2</v>
      </c>
      <c r="AB13" s="431">
        <f t="shared" si="26"/>
        <v>-7.8202592804362814E-3</v>
      </c>
      <c r="AC13" s="431">
        <f t="shared" si="26"/>
        <v>-1.5358761919648245E-4</v>
      </c>
      <c r="AD13" s="431">
        <f t="shared" si="26"/>
        <v>5.9174713014778391E-2</v>
      </c>
      <c r="AE13" s="431">
        <f t="shared" si="26"/>
        <v>1.2183334563436343E-2</v>
      </c>
      <c r="AF13" s="431">
        <f t="shared" si="26"/>
        <v>-7.5944839723752433E-2</v>
      </c>
      <c r="AG13" s="431">
        <f t="shared" si="26"/>
        <v>5.5147819789199692E-2</v>
      </c>
      <c r="AH13" s="431">
        <f t="shared" si="26"/>
        <v>3.1272213884789846E-2</v>
      </c>
      <c r="AI13" s="431">
        <f t="shared" si="26"/>
        <v>2.0190829638936814E-2</v>
      </c>
      <c r="AJ13" s="431">
        <f t="shared" si="26"/>
        <v>-6.4924936025021251E-2</v>
      </c>
      <c r="AK13" s="431">
        <f>AK11/AJ11-1</f>
        <v>4.681756302492901E-2</v>
      </c>
      <c r="AL13" s="431">
        <f>AL11/AK11-1</f>
        <v>4.5383959802778318E-3</v>
      </c>
      <c r="AM13" s="431">
        <f>AM11/AL11-1</f>
        <v>1.7132942962481135E-2</v>
      </c>
      <c r="AN13" s="431">
        <f>AN11/AM11-1</f>
        <v>-4.6908315565031944E-2</v>
      </c>
      <c r="AO13" s="431">
        <f>AO11/AN11-1</f>
        <v>4.8316703952274498E-2</v>
      </c>
      <c r="AP13" s="432">
        <f t="shared" ref="AP13:AS13" si="27">AP11/AO11-1</f>
        <v>3.6799878104361028E-3</v>
      </c>
      <c r="AQ13" s="432">
        <f t="shared" si="27"/>
        <v>2.2118888761316624E-2</v>
      </c>
      <c r="AR13" s="432">
        <f t="shared" si="27"/>
        <v>-4.6908315565031944E-2</v>
      </c>
      <c r="AS13" s="432">
        <f t="shared" si="27"/>
        <v>4.8316703952274498E-2</v>
      </c>
      <c r="AU13" s="432">
        <v>4.22864697986578E-2</v>
      </c>
      <c r="AX13" s="433"/>
      <c r="AY13" s="433"/>
      <c r="AZ13" s="433"/>
      <c r="BA13" s="433"/>
      <c r="BB13" s="433"/>
      <c r="BC13" s="433"/>
      <c r="BD13" s="433"/>
      <c r="BE13" s="433"/>
      <c r="BF13" s="433"/>
      <c r="BG13" s="433"/>
      <c r="BH13" s="433"/>
      <c r="BI13" s="433"/>
      <c r="BJ13" s="433"/>
      <c r="BK13" s="433"/>
      <c r="BL13" s="433"/>
      <c r="BM13" s="433"/>
      <c r="BN13" s="433"/>
      <c r="BO13" s="433"/>
      <c r="BP13" s="433"/>
      <c r="BQ13" s="433"/>
      <c r="BR13" s="433"/>
      <c r="BS13" s="433"/>
      <c r="BT13" s="433"/>
      <c r="BU13" s="433"/>
      <c r="BV13" s="433"/>
      <c r="BW13" s="433"/>
      <c r="BX13" s="433"/>
      <c r="BY13" s="433"/>
      <c r="BZ13" s="433"/>
      <c r="CA13" s="435"/>
      <c r="CB13" s="435"/>
      <c r="CC13" s="435"/>
      <c r="CD13" s="435"/>
    </row>
    <row r="14" spans="1:82" ht="17.25" customHeight="1">
      <c r="A14" s="423" t="s">
        <v>188</v>
      </c>
      <c r="B14" s="431">
        <f>+B11/SUM($B11:$E11)</f>
        <v>0.2447628938571596</v>
      </c>
      <c r="C14" s="431">
        <f>+C11/SUM($B11:$E11)</f>
        <v>0.24765226984241157</v>
      </c>
      <c r="D14" s="431">
        <f>+D11/SUM($B11:$E11)</f>
        <v>0.24451443825689048</v>
      </c>
      <c r="E14" s="431">
        <f>+E11/SUM($B11:$E11)</f>
        <v>0.26307039804353832</v>
      </c>
      <c r="F14" s="431">
        <f>+F11/SUM($F11:$I11)</f>
        <v>0.25235843261197449</v>
      </c>
      <c r="G14" s="431">
        <f>+G11/SUM($F11:$I11)</f>
        <v>0.25435487065532381</v>
      </c>
      <c r="H14" s="431">
        <f>+H11/SUM($F11:$I11)</f>
        <v>0.2435343284498975</v>
      </c>
      <c r="I14" s="431">
        <f>+I11/SUM($F11:$I11)</f>
        <v>0.24975236828280434</v>
      </c>
      <c r="J14" s="431">
        <f>+J11/SUM($J11:$M11)</f>
        <v>0.2487946921802261</v>
      </c>
      <c r="K14" s="431">
        <f>+K11/SUM($J11:$M11)</f>
        <v>0.25808938260550451</v>
      </c>
      <c r="L14" s="431">
        <f>+L11/SUM($J11:$M11)</f>
        <v>0.24123218386859888</v>
      </c>
      <c r="M14" s="431">
        <f>+M11/SUM($J11:$M11)</f>
        <v>0.25188374134567049</v>
      </c>
      <c r="N14" s="431">
        <f>+N11/SUM($N11:$Q11)</f>
        <v>0.25318999509182893</v>
      </c>
      <c r="O14" s="431">
        <f>+O11/SUM($N11:$Q11)</f>
        <v>0.25944110297046757</v>
      </c>
      <c r="P14" s="431">
        <f>+P11/SUM($N11:$Q11)</f>
        <v>0.23907535399991112</v>
      </c>
      <c r="Q14" s="431">
        <f>+Q11/SUM($N11:$Q11)</f>
        <v>0.24829354793779229</v>
      </c>
      <c r="R14" s="431">
        <f>+R11/SUM($R11:$U11)</f>
        <v>0.25035360227668968</v>
      </c>
      <c r="S14" s="431">
        <f>+S11/SUM($R11:$U11)</f>
        <v>0.26416475895123842</v>
      </c>
      <c r="T14" s="431">
        <f>+T11/SUM($R11:$U11)</f>
        <v>0.23761094467484295</v>
      </c>
      <c r="U14" s="431">
        <f>+U11/SUM($R11:$U11)</f>
        <v>0.24787069409722887</v>
      </c>
      <c r="V14" s="431">
        <f t="shared" ref="V14:AA14" si="28">+V11/SUM($V11:$Y11)</f>
        <v>0.25822042381020349</v>
      </c>
      <c r="W14" s="431">
        <f t="shared" si="28"/>
        <v>0.24997285897973695</v>
      </c>
      <c r="X14" s="431">
        <f t="shared" si="28"/>
        <v>0.24189659551699652</v>
      </c>
      <c r="Y14" s="431">
        <f t="shared" si="28"/>
        <v>0.24991012169306315</v>
      </c>
      <c r="Z14" s="431">
        <f t="shared" si="28"/>
        <v>0.26813686017537058</v>
      </c>
      <c r="AA14" s="431">
        <f t="shared" si="28"/>
        <v>0.27497870034997896</v>
      </c>
      <c r="AB14" s="431">
        <f t="shared" ref="AB14:AH14" si="29">+AB11/SUM($V11:$Y11)</f>
        <v>0.27282829561664473</v>
      </c>
      <c r="AC14" s="431">
        <f t="shared" si="29"/>
        <v>0.27278639256827153</v>
      </c>
      <c r="AD14" s="431">
        <f t="shared" si="29"/>
        <v>0.28892844906283566</v>
      </c>
      <c r="AE14" s="431">
        <f t="shared" si="29"/>
        <v>0.29244856102266303</v>
      </c>
      <c r="AF14" s="431">
        <f t="shared" si="29"/>
        <v>0.27023860192835486</v>
      </c>
      <c r="AG14" s="431">
        <f t="shared" si="29"/>
        <v>0.28514167164758503</v>
      </c>
      <c r="AH14" s="431">
        <f t="shared" si="29"/>
        <v>0.29405868299081483</v>
      </c>
      <c r="AI14" s="431">
        <f t="shared" ref="AI14:AK14" si="30">+AI11/SUM($V11:$Y11)</f>
        <v>0.29999597176293247</v>
      </c>
      <c r="AJ14" s="431">
        <f t="shared" si="30"/>
        <v>0.28051875248846003</v>
      </c>
      <c r="AK14" s="431">
        <f t="shared" si="30"/>
        <v>0.29365195686276296</v>
      </c>
      <c r="AL14" s="431">
        <f t="shared" ref="AL14:AM14" si="31">+AL11/SUM($V11:$Y11)</f>
        <v>0.29498466572338961</v>
      </c>
      <c r="AM14" s="431">
        <f t="shared" si="31"/>
        <v>0.30003862117603497</v>
      </c>
      <c r="AN14" s="431">
        <f t="shared" ref="AN14:AO14" si="32">+AN11/SUM($V11:$Y11)</f>
        <v>0.28596431485221246</v>
      </c>
      <c r="AO14" s="431">
        <f t="shared" si="32"/>
        <v>0.2997811679938418</v>
      </c>
      <c r="AP14" s="432">
        <f t="shared" ref="AP14:AS14" si="33">+AP11/SUM($V11:$Y11)</f>
        <v>0.30088435903785743</v>
      </c>
      <c r="AQ14" s="432">
        <f t="shared" si="33"/>
        <v>0.3075395867054358</v>
      </c>
      <c r="AR14" s="432">
        <f t="shared" si="33"/>
        <v>0.2931134227235177</v>
      </c>
      <c r="AS14" s="432">
        <f t="shared" si="33"/>
        <v>0.3072756971936878</v>
      </c>
      <c r="AU14" s="432">
        <v>0.29805673621570439</v>
      </c>
      <c r="AX14" s="433"/>
      <c r="AY14" s="433"/>
      <c r="AZ14" s="433"/>
      <c r="BA14" s="433"/>
      <c r="BB14" s="433"/>
      <c r="BC14" s="433"/>
      <c r="BD14" s="433"/>
      <c r="BE14" s="433">
        <f t="shared" ref="BE14:CD14" si="34">+BE12-BE6</f>
        <v>7.0319462552204365E-2</v>
      </c>
      <c r="BF14" s="433">
        <f t="shared" si="34"/>
        <v>-0.12266820061070505</v>
      </c>
      <c r="BG14" s="433">
        <f t="shared" si="34"/>
        <v>2.9794532890882033E-2</v>
      </c>
      <c r="BH14" s="433">
        <f t="shared" si="34"/>
        <v>2.1950463498231175E-2</v>
      </c>
      <c r="BI14" s="433">
        <f t="shared" si="34"/>
        <v>1.8508503768211039E-2</v>
      </c>
      <c r="BJ14" s="433">
        <f t="shared" si="34"/>
        <v>1.889305634917568E-2</v>
      </c>
      <c r="BK14" s="433">
        <f t="shared" si="34"/>
        <v>-1.3644457796091004E-2</v>
      </c>
      <c r="BL14" s="433">
        <f t="shared" si="34"/>
        <v>5.9941312728182039E-2</v>
      </c>
      <c r="BM14" s="433">
        <f t="shared" si="34"/>
        <v>-2.6463635505501459E-2</v>
      </c>
      <c r="BN14" s="433">
        <f t="shared" si="34"/>
        <v>-6.0041690810729076E-2</v>
      </c>
      <c r="BO14" s="433">
        <f t="shared" si="34"/>
        <v>8.5175127839624221E-2</v>
      </c>
      <c r="BP14" s="433">
        <f t="shared" si="34"/>
        <v>7.364565657411748E-2</v>
      </c>
      <c r="BQ14" s="433">
        <f t="shared" si="34"/>
        <v>-8.688793953268048E-3</v>
      </c>
      <c r="BR14" s="433">
        <f t="shared" si="34"/>
        <v>3.8045530393747029E-2</v>
      </c>
      <c r="BS14" s="433">
        <f t="shared" si="34"/>
        <v>3.2017766973124306E-2</v>
      </c>
      <c r="BT14" s="433">
        <f t="shared" si="34"/>
        <v>4.2106096074347787E-2</v>
      </c>
      <c r="BU14" s="433">
        <f t="shared" si="34"/>
        <v>-6.9459941178954931E-2</v>
      </c>
      <c r="BV14" s="433">
        <f t="shared" si="34"/>
        <v>1.0559961943805041E-2</v>
      </c>
      <c r="BW14" s="433">
        <f t="shared" si="34"/>
        <v>-2.49600893460733E-3</v>
      </c>
      <c r="BX14" s="433">
        <f t="shared" si="34"/>
        <v>-1.444107237561254E-2</v>
      </c>
      <c r="BY14" s="433">
        <f>+BY12-BY6</f>
        <v>-2.6182295803277578E-2</v>
      </c>
      <c r="BZ14" s="433">
        <f>+BZ12-BZ6</f>
        <v>-1.1249121222044911E-2</v>
      </c>
      <c r="CA14" s="434">
        <f t="shared" si="34"/>
        <v>-1.499999999999992E-2</v>
      </c>
      <c r="CB14" s="434">
        <f t="shared" si="34"/>
        <v>-1.499999999999992E-2</v>
      </c>
      <c r="CC14" s="434">
        <f t="shared" si="34"/>
        <v>-1.499999999999992E-2</v>
      </c>
      <c r="CD14" s="434">
        <f t="shared" si="34"/>
        <v>-1.499999999999992E-2</v>
      </c>
    </row>
    <row r="15" spans="1:82" ht="17.25" customHeight="1">
      <c r="B15" s="430"/>
      <c r="C15" s="431"/>
      <c r="D15" s="431"/>
      <c r="E15" s="431"/>
      <c r="F15" s="431"/>
      <c r="G15" s="431"/>
      <c r="H15" s="431"/>
      <c r="I15" s="431"/>
      <c r="J15" s="431"/>
      <c r="K15" s="431"/>
      <c r="L15" s="431"/>
      <c r="M15" s="431"/>
      <c r="N15" s="431"/>
      <c r="O15" s="431"/>
      <c r="P15" s="431"/>
      <c r="Q15" s="431"/>
      <c r="R15" s="431"/>
      <c r="S15" s="431"/>
      <c r="T15" s="431"/>
      <c r="U15" s="431"/>
      <c r="V15" s="431"/>
      <c r="W15" s="431"/>
      <c r="X15" s="431"/>
      <c r="Y15" s="431"/>
      <c r="Z15" s="431"/>
      <c r="AA15" s="431"/>
      <c r="AB15" s="431"/>
      <c r="AC15" s="431"/>
      <c r="AD15" s="431"/>
      <c r="AE15" s="431"/>
      <c r="AF15" s="431"/>
      <c r="AG15" s="431"/>
      <c r="AH15" s="431"/>
      <c r="AI15" s="431"/>
      <c r="AJ15" s="431"/>
      <c r="AK15" s="431"/>
      <c r="AL15" s="431"/>
      <c r="AM15" s="431"/>
      <c r="AN15" s="431"/>
      <c r="AO15" s="432"/>
      <c r="AP15" s="432"/>
      <c r="AQ15" s="432"/>
      <c r="AR15" s="432"/>
      <c r="AS15" s="432"/>
      <c r="AU15" s="432"/>
      <c r="AX15" s="433"/>
      <c r="AY15" s="433"/>
      <c r="AZ15" s="433"/>
      <c r="BA15" s="433"/>
      <c r="BB15" s="433"/>
      <c r="BC15" s="433"/>
      <c r="BD15" s="433"/>
      <c r="BE15" s="433"/>
      <c r="BF15" s="433"/>
      <c r="BG15" s="433"/>
      <c r="BH15" s="433"/>
      <c r="BI15" s="433"/>
      <c r="BJ15" s="433"/>
      <c r="BK15" s="433"/>
      <c r="BL15" s="433"/>
      <c r="BM15" s="433"/>
      <c r="BN15" s="433"/>
      <c r="BO15" s="433"/>
      <c r="BP15" s="433"/>
      <c r="BQ15" s="433"/>
      <c r="BR15" s="433"/>
      <c r="BS15" s="433"/>
      <c r="BT15" s="433"/>
      <c r="BU15" s="433"/>
      <c r="BV15" s="433"/>
      <c r="BW15" s="433"/>
      <c r="BX15" s="433"/>
      <c r="BY15" s="433"/>
      <c r="BZ15" s="433"/>
      <c r="CA15" s="434"/>
      <c r="CB15" s="434"/>
      <c r="CC15" s="434"/>
      <c r="CD15" s="434"/>
    </row>
    <row r="16" spans="1:82" ht="17.25" customHeight="1">
      <c r="B16" s="430"/>
      <c r="C16" s="454"/>
      <c r="D16" s="455"/>
      <c r="E16" s="455"/>
      <c r="F16" s="454"/>
      <c r="G16" s="454"/>
      <c r="H16" s="454"/>
      <c r="I16" s="454"/>
      <c r="J16" s="454"/>
      <c r="K16" s="454" t="s">
        <v>189</v>
      </c>
      <c r="L16" s="454"/>
      <c r="M16" s="454"/>
      <c r="N16" s="454"/>
      <c r="O16" s="454" t="s">
        <v>189</v>
      </c>
      <c r="P16" s="454" t="s">
        <v>189</v>
      </c>
      <c r="Q16" s="454" t="s">
        <v>189</v>
      </c>
      <c r="R16" s="454" t="s">
        <v>189</v>
      </c>
      <c r="S16" s="454" t="s">
        <v>189</v>
      </c>
      <c r="T16" s="454" t="s">
        <v>189</v>
      </c>
      <c r="U16" s="454" t="s">
        <v>189</v>
      </c>
      <c r="V16" s="454" t="s">
        <v>189</v>
      </c>
      <c r="W16" s="454" t="s">
        <v>189</v>
      </c>
      <c r="X16" s="454" t="s">
        <v>189</v>
      </c>
      <c r="Y16" s="454" t="s">
        <v>189</v>
      </c>
      <c r="Z16" s="454" t="s">
        <v>189</v>
      </c>
      <c r="AA16" s="454" t="s">
        <v>189</v>
      </c>
      <c r="AB16" s="454" t="s">
        <v>189</v>
      </c>
      <c r="AC16" s="454" t="s">
        <v>189</v>
      </c>
      <c r="AD16" s="454" t="s">
        <v>189</v>
      </c>
      <c r="AE16" s="454" t="s">
        <v>189</v>
      </c>
      <c r="AF16" s="454" t="s">
        <v>189</v>
      </c>
      <c r="AG16" s="454" t="s">
        <v>189</v>
      </c>
      <c r="AH16" s="454" t="s">
        <v>189</v>
      </c>
      <c r="AI16" s="454"/>
      <c r="AJ16" s="454"/>
      <c r="AK16" s="454"/>
      <c r="AL16" s="454"/>
      <c r="AM16" s="454"/>
      <c r="AN16" s="454"/>
      <c r="AO16" s="432"/>
      <c r="AP16" s="432"/>
      <c r="AQ16" s="432"/>
      <c r="AR16" s="432"/>
      <c r="AS16" s="432"/>
      <c r="AU16" s="432"/>
      <c r="AX16" s="433"/>
      <c r="AY16" s="433"/>
      <c r="AZ16" s="433"/>
      <c r="BA16" s="433"/>
      <c r="BB16" s="433"/>
      <c r="BC16" s="433"/>
      <c r="BD16" s="433"/>
      <c r="BE16" s="433"/>
      <c r="BF16" s="433"/>
      <c r="BG16" s="433"/>
      <c r="BH16" s="433"/>
      <c r="BI16" s="433"/>
      <c r="BJ16" s="433"/>
      <c r="BK16" s="433"/>
      <c r="BL16" s="433"/>
      <c r="BM16" s="433"/>
      <c r="BN16" s="433"/>
      <c r="BO16" s="433"/>
      <c r="BP16" s="433"/>
      <c r="BQ16" s="433"/>
      <c r="BR16" s="433"/>
      <c r="BS16" s="433"/>
      <c r="BT16" s="433"/>
      <c r="BU16" s="433"/>
      <c r="BV16" s="433"/>
      <c r="BW16" s="433"/>
      <c r="BX16" s="433"/>
      <c r="BY16" s="433"/>
      <c r="BZ16" s="433"/>
      <c r="CA16" s="435"/>
      <c r="CB16" s="435"/>
      <c r="CC16" s="435"/>
      <c r="CD16" s="435"/>
    </row>
    <row r="17" spans="1:82" ht="17.25" customHeight="1">
      <c r="A17" s="456" t="s">
        <v>190</v>
      </c>
      <c r="B17" s="436"/>
      <c r="C17" s="436"/>
      <c r="D17" s="436"/>
      <c r="E17" s="436"/>
      <c r="F17" s="436">
        <v>6.9000000000000006E-2</v>
      </c>
      <c r="G17" s="436">
        <v>7.0000000000000007E-2</v>
      </c>
      <c r="H17" s="436">
        <v>3.9E-2</v>
      </c>
      <c r="I17" s="436">
        <v>3.1E-2</v>
      </c>
      <c r="J17" s="436">
        <v>5.1999999999999998E-2</v>
      </c>
      <c r="K17" s="436">
        <v>6.8000000000000005E-2</v>
      </c>
      <c r="L17" s="436">
        <v>8.6999999999999994E-2</v>
      </c>
      <c r="M17" s="436">
        <v>0.09</v>
      </c>
      <c r="N17" s="436">
        <v>0.08</v>
      </c>
      <c r="O17" s="436">
        <v>0.08</v>
      </c>
      <c r="P17" s="436">
        <v>0.06</v>
      </c>
      <c r="Q17" s="436">
        <v>0</v>
      </c>
      <c r="R17" s="436">
        <v>-0.01</v>
      </c>
      <c r="S17" s="436">
        <v>0.05</v>
      </c>
      <c r="T17" s="436">
        <v>0</v>
      </c>
      <c r="U17" s="436">
        <v>0.04</v>
      </c>
      <c r="V17" s="436">
        <v>0.06</v>
      </c>
      <c r="W17" s="436">
        <v>0.01</v>
      </c>
      <c r="X17" s="436">
        <v>0.02</v>
      </c>
      <c r="Y17" s="436">
        <v>0.05</v>
      </c>
      <c r="Z17" s="436">
        <v>7.0000000000000007E-2</v>
      </c>
      <c r="AA17" s="436">
        <v>0.13</v>
      </c>
      <c r="AB17" s="436">
        <v>0.185</v>
      </c>
      <c r="AC17" s="436">
        <v>0.16</v>
      </c>
      <c r="AD17" s="436">
        <v>0.11</v>
      </c>
      <c r="AE17" s="436">
        <v>7.0999999999999994E-2</v>
      </c>
      <c r="AF17" s="436">
        <v>0.01</v>
      </c>
      <c r="AG17" s="436">
        <v>6.3E-2</v>
      </c>
      <c r="AH17" s="436">
        <v>1.2E-2</v>
      </c>
      <c r="AI17" s="436">
        <v>1.9E-2</v>
      </c>
      <c r="AJ17" s="436">
        <v>0.02</v>
      </c>
      <c r="AK17" s="436">
        <f>+AK12-AK18</f>
        <v>2.4845813717807034E-2</v>
      </c>
      <c r="AL17" s="436">
        <f>+AL12-AL18</f>
        <v>1.6148972589949614E-2</v>
      </c>
      <c r="AM17" s="436">
        <f>+AM12-AM18</f>
        <v>3.3142166619277796E-2</v>
      </c>
      <c r="AN17" s="432">
        <f>+AN12-AN18</f>
        <v>7.4124717704085012E-3</v>
      </c>
      <c r="AO17" s="432">
        <f>+AO12-AO18</f>
        <v>1.0872366036856604E-2</v>
      </c>
      <c r="AP17" s="457">
        <v>1.4999999999999999E-2</v>
      </c>
      <c r="AQ17" s="457">
        <v>1.4999999999999999E-2</v>
      </c>
      <c r="AR17" s="457">
        <v>1.4999999999999999E-2</v>
      </c>
      <c r="AS17" s="457">
        <v>1.4999999999999999E-2</v>
      </c>
      <c r="AU17" s="457">
        <v>1.4999999999999999E-2</v>
      </c>
      <c r="AX17" s="433"/>
      <c r="AY17" s="433"/>
      <c r="AZ17" s="433"/>
      <c r="BA17" s="433"/>
      <c r="BB17" s="433"/>
      <c r="BC17" s="433"/>
      <c r="BD17" s="433"/>
      <c r="BE17" s="433"/>
      <c r="BF17" s="433"/>
      <c r="BG17" s="433"/>
      <c r="BH17" s="433"/>
      <c r="BI17" s="433"/>
      <c r="BJ17" s="433"/>
      <c r="BK17" s="433"/>
      <c r="BL17" s="433"/>
      <c r="BM17" s="433"/>
      <c r="BN17" s="433"/>
      <c r="BO17" s="433"/>
      <c r="BP17" s="438"/>
      <c r="BQ17" s="438">
        <f t="shared" ref="BQ17:BX18" si="35">AVERAGEIFS($B17:$AK17, $B$8:$AK$8, "&gt;=" &amp; BP$8, $B$8:$AK$8, "&lt;=" &amp; BQ$8)</f>
        <v>5.2250000000000005E-2</v>
      </c>
      <c r="BR17" s="438">
        <f t="shared" si="35"/>
        <v>6.5599999999999992E-2</v>
      </c>
      <c r="BS17" s="438">
        <f t="shared" si="35"/>
        <v>6.2E-2</v>
      </c>
      <c r="BT17" s="438">
        <f t="shared" si="35"/>
        <v>1.6E-2</v>
      </c>
      <c r="BU17" s="438">
        <f t="shared" si="35"/>
        <v>3.5999999999999997E-2</v>
      </c>
      <c r="BV17" s="438">
        <f t="shared" si="35"/>
        <v>0.11899999999999999</v>
      </c>
      <c r="BW17" s="438">
        <f t="shared" si="35"/>
        <v>6.3500000000000001E-2</v>
      </c>
      <c r="BX17" s="438">
        <f t="shared" si="35"/>
        <v>2.776916274356141E-2</v>
      </c>
      <c r="BY17" s="438">
        <f>AVERAGEIFS($B17:$AS17, $B$8:$AS$8, "&gt;=" &amp; BX$8, $B$8:$AS$8, "&lt;=" &amp; BY$8)</f>
        <v>1.8484358146859912E-2</v>
      </c>
      <c r="BZ17" s="438">
        <f>AVERAGEIFS($B17:$AS17, $B$8:$AS$8, "&gt;=" &amp; BY$8, $B$8:$AS$8, "&lt;=" &amp; BZ$8)</f>
        <v>1.4174473207371318E-2</v>
      </c>
      <c r="CA17" s="457">
        <v>1.4999999999999999E-2</v>
      </c>
      <c r="CB17" s="457">
        <v>1.4999999999999999E-2</v>
      </c>
      <c r="CC17" s="457">
        <v>1.4999999999999999E-2</v>
      </c>
      <c r="CD17" s="457">
        <v>1.4999999999999999E-2</v>
      </c>
    </row>
    <row r="18" spans="1:82" ht="17.25" customHeight="1">
      <c r="A18" s="456" t="s">
        <v>191</v>
      </c>
      <c r="B18" s="436"/>
      <c r="C18" s="436"/>
      <c r="D18" s="436"/>
      <c r="E18" s="436"/>
      <c r="F18" s="436">
        <v>2.3E-2</v>
      </c>
      <c r="G18" s="436">
        <v>1.7999999999999999E-2</v>
      </c>
      <c r="H18" s="436">
        <v>1.6E-2</v>
      </c>
      <c r="I18" s="436">
        <v>-2.5999999999999999E-2</v>
      </c>
      <c r="J18" s="436">
        <v>1.9E-2</v>
      </c>
      <c r="K18" s="436">
        <v>3.4000000000000002E-2</v>
      </c>
      <c r="L18" s="436">
        <v>-1.0999999999999999E-2</v>
      </c>
      <c r="M18" s="436">
        <v>0.01</v>
      </c>
      <c r="N18" s="436">
        <v>-1E-3</v>
      </c>
      <c r="O18" s="436">
        <v>-0.01</v>
      </c>
      <c r="P18" s="436">
        <v>-0.01</v>
      </c>
      <c r="Q18" s="436">
        <v>0.05</v>
      </c>
      <c r="R18" s="436">
        <v>7.0000000000000007E-2</v>
      </c>
      <c r="S18" s="436">
        <v>0.05</v>
      </c>
      <c r="T18" s="436">
        <v>7.0000000000000007E-2</v>
      </c>
      <c r="U18" s="436">
        <v>0.03</v>
      </c>
      <c r="V18" s="436">
        <v>-0.02</v>
      </c>
      <c r="W18" s="436">
        <v>-0.06</v>
      </c>
      <c r="X18" s="436">
        <v>0</v>
      </c>
      <c r="Y18" s="436">
        <v>-0.04</v>
      </c>
      <c r="Z18" s="436">
        <v>-0.03</v>
      </c>
      <c r="AA18" s="436">
        <v>-0.03</v>
      </c>
      <c r="AB18" s="436">
        <v>-0.06</v>
      </c>
      <c r="AC18" s="436">
        <v>-7.0000000000000007E-2</v>
      </c>
      <c r="AD18" s="436">
        <v>-0.04</v>
      </c>
      <c r="AE18" s="436">
        <v>-7.0000000000000001E-3</v>
      </c>
      <c r="AF18" s="436">
        <v>-0.01</v>
      </c>
      <c r="AG18" s="436">
        <v>-1.7999999999999999E-2</v>
      </c>
      <c r="AH18" s="436">
        <v>6.0000000000000001E-3</v>
      </c>
      <c r="AI18" s="436">
        <f>+AH18</f>
        <v>6.0000000000000001E-3</v>
      </c>
      <c r="AJ18" s="436">
        <v>1.7999999999999999E-2</v>
      </c>
      <c r="AK18" s="436">
        <v>5.0000000000000001E-3</v>
      </c>
      <c r="AL18" s="436">
        <v>-1.2999999999999999E-2</v>
      </c>
      <c r="AM18" s="436">
        <v>-3.3000000000000002E-2</v>
      </c>
      <c r="AN18" s="457">
        <v>1.2E-2</v>
      </c>
      <c r="AO18" s="457">
        <v>0.01</v>
      </c>
      <c r="AP18" s="457">
        <v>5.0000000000000001E-3</v>
      </c>
      <c r="AQ18" s="457">
        <v>0.01</v>
      </c>
      <c r="AR18" s="457">
        <v>0.01</v>
      </c>
      <c r="AS18" s="457">
        <v>0.01</v>
      </c>
      <c r="AU18" s="457">
        <v>0</v>
      </c>
      <c r="AX18" s="433"/>
      <c r="AY18" s="433"/>
      <c r="AZ18" s="433"/>
      <c r="BA18" s="433"/>
      <c r="BB18" s="433"/>
      <c r="BC18" s="433"/>
      <c r="BD18" s="433"/>
      <c r="BE18" s="433"/>
      <c r="BF18" s="433"/>
      <c r="BG18" s="433"/>
      <c r="BH18" s="433"/>
      <c r="BI18" s="433"/>
      <c r="BJ18" s="433"/>
      <c r="BK18" s="433"/>
      <c r="BL18" s="433"/>
      <c r="BM18" s="433"/>
      <c r="BN18" s="433"/>
      <c r="BO18" s="433"/>
      <c r="BP18" s="438"/>
      <c r="BQ18" s="438">
        <f t="shared" si="35"/>
        <v>7.7499999999999991E-3</v>
      </c>
      <c r="BR18" s="438">
        <f t="shared" si="35"/>
        <v>5.2000000000000006E-3</v>
      </c>
      <c r="BS18" s="438">
        <f t="shared" si="35"/>
        <v>7.8000000000000014E-3</v>
      </c>
      <c r="BT18" s="438">
        <f t="shared" si="35"/>
        <v>5.4000000000000006E-2</v>
      </c>
      <c r="BU18" s="438">
        <f t="shared" si="35"/>
        <v>-1.7999999999999999E-2</v>
      </c>
      <c r="BV18" s="438">
        <f t="shared" si="35"/>
        <v>-4.5999999999999999E-2</v>
      </c>
      <c r="BW18" s="438">
        <f t="shared" si="35"/>
        <v>-1.8749999999999999E-2</v>
      </c>
      <c r="BX18" s="438">
        <f t="shared" si="35"/>
        <v>3.4000000000000002E-3</v>
      </c>
      <c r="BY18" s="438">
        <f>AVERAGEIFS($B18:$AS18, $B$8:$AS$8, "&gt;=" &amp; BX$8, $B$8:$AS$8, "&lt;=" &amp; BY$8)</f>
        <v>-3.8000000000000004E-3</v>
      </c>
      <c r="BZ18" s="438">
        <f>AVERAGEIFS($B18:$AS18, $B$8:$AS$8, "&gt;=" &amp; BY$8, $B$8:$AS$8, "&lt;=" &amp; BZ$8)</f>
        <v>9.0000000000000011E-3</v>
      </c>
      <c r="CA18" s="457">
        <v>5.0000000000000001E-3</v>
      </c>
      <c r="CB18" s="457">
        <v>5.0000000000000001E-3</v>
      </c>
      <c r="CC18" s="457">
        <v>5.0000000000000001E-3</v>
      </c>
      <c r="CD18" s="457">
        <v>5.0000000000000001E-3</v>
      </c>
    </row>
    <row r="19" spans="1:82" ht="17.25" customHeight="1">
      <c r="A19" s="456" t="s">
        <v>192</v>
      </c>
      <c r="B19" s="430"/>
      <c r="F19" s="431">
        <f t="shared" ref="F19:AJ19" si="36">+F17+F18</f>
        <v>9.1999999999999998E-2</v>
      </c>
      <c r="G19" s="431">
        <f t="shared" si="36"/>
        <v>8.8000000000000009E-2</v>
      </c>
      <c r="H19" s="431">
        <f t="shared" si="36"/>
        <v>5.5E-2</v>
      </c>
      <c r="I19" s="431">
        <f t="shared" si="36"/>
        <v>5.000000000000001E-3</v>
      </c>
      <c r="J19" s="431">
        <f t="shared" si="36"/>
        <v>7.0999999999999994E-2</v>
      </c>
      <c r="K19" s="431">
        <f t="shared" si="36"/>
        <v>0.10200000000000001</v>
      </c>
      <c r="L19" s="431">
        <f t="shared" si="36"/>
        <v>7.5999999999999998E-2</v>
      </c>
      <c r="M19" s="431">
        <f t="shared" si="36"/>
        <v>9.9999999999999992E-2</v>
      </c>
      <c r="N19" s="431">
        <f t="shared" si="36"/>
        <v>7.9000000000000001E-2</v>
      </c>
      <c r="O19" s="431">
        <f t="shared" si="36"/>
        <v>7.0000000000000007E-2</v>
      </c>
      <c r="P19" s="431">
        <f t="shared" si="36"/>
        <v>4.9999999999999996E-2</v>
      </c>
      <c r="Q19" s="431">
        <f t="shared" si="36"/>
        <v>0.05</v>
      </c>
      <c r="R19" s="431">
        <f t="shared" si="36"/>
        <v>6.0000000000000005E-2</v>
      </c>
      <c r="S19" s="431">
        <f t="shared" si="36"/>
        <v>0.1</v>
      </c>
      <c r="T19" s="431">
        <f t="shared" si="36"/>
        <v>7.0000000000000007E-2</v>
      </c>
      <c r="U19" s="431">
        <f t="shared" si="36"/>
        <v>7.0000000000000007E-2</v>
      </c>
      <c r="V19" s="431">
        <f t="shared" si="36"/>
        <v>3.9999999999999994E-2</v>
      </c>
      <c r="W19" s="431">
        <f t="shared" si="36"/>
        <v>-4.9999999999999996E-2</v>
      </c>
      <c r="X19" s="431">
        <f t="shared" si="36"/>
        <v>0.02</v>
      </c>
      <c r="Y19" s="431">
        <f t="shared" si="36"/>
        <v>1.0000000000000002E-2</v>
      </c>
      <c r="Z19" s="431">
        <f t="shared" si="36"/>
        <v>4.0000000000000008E-2</v>
      </c>
      <c r="AA19" s="431">
        <f t="shared" si="36"/>
        <v>0.1</v>
      </c>
      <c r="AB19" s="431">
        <f t="shared" si="36"/>
        <v>0.125</v>
      </c>
      <c r="AC19" s="431">
        <f t="shared" si="36"/>
        <v>0.09</v>
      </c>
      <c r="AD19" s="431">
        <f t="shared" si="36"/>
        <v>7.0000000000000007E-2</v>
      </c>
      <c r="AE19" s="431">
        <f t="shared" si="36"/>
        <v>6.3999999999999987E-2</v>
      </c>
      <c r="AF19" s="431">
        <f t="shared" si="36"/>
        <v>0</v>
      </c>
      <c r="AG19" s="431">
        <f t="shared" si="36"/>
        <v>4.4999999999999998E-2</v>
      </c>
      <c r="AH19" s="431">
        <f t="shared" si="36"/>
        <v>1.8000000000000002E-2</v>
      </c>
      <c r="AI19" s="431">
        <f t="shared" si="36"/>
        <v>2.5000000000000001E-2</v>
      </c>
      <c r="AJ19" s="431">
        <f t="shared" si="36"/>
        <v>3.7999999999999999E-2</v>
      </c>
      <c r="AK19" s="431">
        <f>+AK17+AK18</f>
        <v>2.9845813717807035E-2</v>
      </c>
      <c r="AL19" s="431">
        <f t="shared" ref="AL19:AM19" si="37">+AL17+AL18</f>
        <v>3.1489725899496151E-3</v>
      </c>
      <c r="AM19" s="431">
        <f t="shared" si="37"/>
        <v>1.4216661927779484E-4</v>
      </c>
      <c r="AN19" s="431">
        <f t="shared" ref="AN19:AO19" si="38">+AN17+AN18</f>
        <v>1.9412471770408501E-2</v>
      </c>
      <c r="AO19" s="431">
        <f t="shared" si="38"/>
        <v>2.0872366036856604E-2</v>
      </c>
      <c r="AP19" s="453">
        <f t="shared" ref="AP19:AS19" si="39">+AP17+AP18</f>
        <v>0.02</v>
      </c>
      <c r="AQ19" s="453">
        <f t="shared" si="39"/>
        <v>2.5000000000000001E-2</v>
      </c>
      <c r="AR19" s="453">
        <f t="shared" si="39"/>
        <v>2.5000000000000001E-2</v>
      </c>
      <c r="AS19" s="453">
        <f t="shared" si="39"/>
        <v>2.5000000000000001E-2</v>
      </c>
      <c r="AU19" s="453">
        <v>1.4999999999999999E-2</v>
      </c>
      <c r="AX19" s="433"/>
      <c r="AY19" s="433"/>
      <c r="AZ19" s="433"/>
      <c r="BA19" s="433"/>
      <c r="BB19" s="433"/>
      <c r="BC19" s="433"/>
      <c r="BD19" s="433"/>
      <c r="BE19" s="433"/>
      <c r="BF19" s="433"/>
      <c r="BG19" s="433"/>
      <c r="BH19" s="433"/>
      <c r="BI19" s="433"/>
      <c r="BJ19" s="433"/>
      <c r="BK19" s="433"/>
      <c r="BL19" s="433"/>
      <c r="BM19" s="433"/>
      <c r="BN19" s="433"/>
      <c r="BO19" s="433"/>
      <c r="BP19" s="438"/>
      <c r="BQ19" s="438">
        <f t="shared" ref="BQ19:BX19" si="40">+BQ17+BQ18</f>
        <v>6.0000000000000005E-2</v>
      </c>
      <c r="BR19" s="438">
        <f t="shared" si="40"/>
        <v>7.0799999999999988E-2</v>
      </c>
      <c r="BS19" s="438">
        <f t="shared" si="40"/>
        <v>6.9800000000000001E-2</v>
      </c>
      <c r="BT19" s="438">
        <f t="shared" si="40"/>
        <v>7.0000000000000007E-2</v>
      </c>
      <c r="BU19" s="438">
        <f t="shared" si="40"/>
        <v>1.7999999999999999E-2</v>
      </c>
      <c r="BV19" s="438">
        <f t="shared" si="40"/>
        <v>7.2999999999999995E-2</v>
      </c>
      <c r="BW19" s="438">
        <f t="shared" si="40"/>
        <v>4.4749999999999998E-2</v>
      </c>
      <c r="BX19" s="438">
        <f t="shared" si="40"/>
        <v>3.1169162743561411E-2</v>
      </c>
      <c r="BY19" s="438">
        <f t="shared" ref="BY19:CD19" si="41">+BY17+BY18</f>
        <v>1.4684358146859911E-2</v>
      </c>
      <c r="BZ19" s="438">
        <f t="shared" ref="BZ19" si="42">+BZ17+BZ18</f>
        <v>2.3174473207371319E-2</v>
      </c>
      <c r="CA19" s="453">
        <f t="shared" si="41"/>
        <v>0.02</v>
      </c>
      <c r="CB19" s="453">
        <f t="shared" si="41"/>
        <v>0.02</v>
      </c>
      <c r="CC19" s="453">
        <f t="shared" si="41"/>
        <v>0.02</v>
      </c>
      <c r="CD19" s="453">
        <f t="shared" si="41"/>
        <v>0.02</v>
      </c>
    </row>
    <row r="20" spans="1:82" ht="17.25" customHeight="1">
      <c r="A20" s="456"/>
      <c r="B20" s="430"/>
      <c r="C20" s="454"/>
      <c r="D20" s="455"/>
      <c r="E20" s="455"/>
      <c r="F20" s="454"/>
      <c r="G20" s="454"/>
      <c r="H20" s="454"/>
      <c r="I20" s="458"/>
      <c r="J20" s="454"/>
      <c r="K20" s="454"/>
      <c r="L20" s="454"/>
      <c r="M20" s="458"/>
      <c r="N20" s="454"/>
      <c r="O20" s="454"/>
      <c r="P20" s="454"/>
      <c r="Q20" s="454"/>
      <c r="R20" s="454"/>
      <c r="S20" s="454"/>
      <c r="T20" s="454"/>
      <c r="U20" s="454"/>
      <c r="V20" s="454"/>
      <c r="W20" s="454"/>
      <c r="X20" s="454"/>
      <c r="Y20" s="454"/>
      <c r="Z20" s="454"/>
      <c r="AA20" s="454"/>
      <c r="AB20" s="454"/>
      <c r="AC20" s="454"/>
      <c r="AD20" s="454"/>
      <c r="AE20" s="454"/>
      <c r="AF20" s="454"/>
      <c r="AG20" s="454"/>
      <c r="AH20" s="454"/>
      <c r="AI20" s="454"/>
      <c r="AJ20" s="454"/>
      <c r="AK20" s="454"/>
      <c r="AL20" s="454"/>
      <c r="AM20" s="454"/>
      <c r="AN20" s="454"/>
      <c r="AO20" s="454"/>
      <c r="AP20" s="432"/>
      <c r="AQ20" s="432"/>
      <c r="AR20" s="432"/>
      <c r="AS20" s="432"/>
      <c r="AU20" s="432"/>
      <c r="AX20" s="433"/>
      <c r="AY20" s="433"/>
      <c r="AZ20" s="433"/>
      <c r="BA20" s="433"/>
      <c r="BB20" s="433"/>
      <c r="BC20" s="433"/>
      <c r="BD20" s="433"/>
      <c r="BE20" s="433"/>
      <c r="BF20" s="433"/>
      <c r="BG20" s="433"/>
      <c r="BH20" s="433"/>
      <c r="BI20" s="433"/>
      <c r="BJ20" s="433"/>
      <c r="BK20" s="433"/>
      <c r="BL20" s="433"/>
      <c r="BM20" s="433"/>
      <c r="BN20" s="433"/>
      <c r="BO20" s="433"/>
      <c r="BP20" s="433"/>
      <c r="BQ20" s="433"/>
      <c r="BR20" s="433"/>
      <c r="BS20" s="433"/>
      <c r="BT20" s="433"/>
      <c r="BU20" s="433"/>
      <c r="BV20" s="433"/>
      <c r="BW20" s="433"/>
      <c r="BX20" s="433"/>
      <c r="BY20" s="433"/>
      <c r="BZ20" s="433"/>
      <c r="CA20" s="435"/>
      <c r="CB20" s="435"/>
      <c r="CC20" s="435"/>
      <c r="CD20" s="435"/>
    </row>
    <row r="21" spans="1:82" ht="17.25" customHeight="1">
      <c r="AP21" s="444"/>
      <c r="AQ21" s="444"/>
      <c r="AR21" s="444"/>
      <c r="AS21" s="444"/>
      <c r="AU21" s="444"/>
      <c r="CA21" s="444"/>
      <c r="CB21" s="444"/>
      <c r="CC21" s="444"/>
      <c r="CD21" s="444"/>
    </row>
    <row r="22" spans="1:82" s="449" customFormat="1" ht="17.25" customHeight="1">
      <c r="A22" s="446" t="str">
        <f>+PROJ!A5</f>
        <v xml:space="preserve"> COGS</v>
      </c>
      <c r="B22" s="447">
        <f>+PROJ!B5</f>
        <v>-5291.9040000000005</v>
      </c>
      <c r="C22" s="447">
        <f>+PROJ!C5</f>
        <v>-5378.3760000000002</v>
      </c>
      <c r="D22" s="447">
        <f>+PROJ!D5</f>
        <v>-5374.7960000000003</v>
      </c>
      <c r="E22" s="447">
        <f>+PROJ!E5</f>
        <v>-5830.2860000000001</v>
      </c>
      <c r="F22" s="447">
        <f>+PROJ!F5</f>
        <v>-6145.84</v>
      </c>
      <c r="G22" s="447">
        <f>+PROJ!G5</f>
        <v>-6206.55</v>
      </c>
      <c r="H22" s="447">
        <f>+PROJ!H5</f>
        <v>-5992.5609999999997</v>
      </c>
      <c r="I22" s="447">
        <f>+PROJ!I5</f>
        <v>-6018.8180000000002</v>
      </c>
      <c r="J22" s="447">
        <f>+PROJ!J5</f>
        <v>-6481.2950000000001</v>
      </c>
      <c r="K22" s="447">
        <f>+PROJ!K5</f>
        <v>-6774.0150000000003</v>
      </c>
      <c r="L22" s="447">
        <f>+PROJ!L5</f>
        <v>-6539.3680000000004</v>
      </c>
      <c r="M22" s="447">
        <f>+PROJ!M5</f>
        <v>-6891.62</v>
      </c>
      <c r="N22" s="447">
        <f>+PROJ!N5</f>
        <v>-7139</v>
      </c>
      <c r="O22" s="447">
        <f>+PROJ!O5</f>
        <v>-7087.4160000000002</v>
      </c>
      <c r="P22" s="447">
        <f>+PROJ!P5</f>
        <v>-6414.6130000000003</v>
      </c>
      <c r="Q22" s="447">
        <f>+PROJ!Q5</f>
        <v>-6538.4790000000003</v>
      </c>
      <c r="R22" s="447">
        <f>+PROJ!R5</f>
        <v>-7067.5389999999998</v>
      </c>
      <c r="S22" s="447">
        <f>+PROJ!S5</f>
        <v>-7617.16</v>
      </c>
      <c r="T22" s="447">
        <f>+PROJ!T5</f>
        <v>-6893.9560000000001</v>
      </c>
      <c r="U22" s="447">
        <f>+PROJ!U5</f>
        <v>-7114.9660000000003</v>
      </c>
      <c r="V22" s="447">
        <f>+PROJ!V5</f>
        <v>-7445.9870000000001</v>
      </c>
      <c r="W22" s="447">
        <f>+PROJ!W5</f>
        <v>-7678.5420000000004</v>
      </c>
      <c r="X22" s="447">
        <f>+PROJ!X5</f>
        <v>-7745.1580000000004</v>
      </c>
      <c r="Y22" s="447">
        <f>+PROJ!Y5</f>
        <v>-8238.6</v>
      </c>
      <c r="Z22" s="447">
        <f>+PROJ!Z5</f>
        <v>-8636.4619999999995</v>
      </c>
      <c r="AA22" s="447">
        <f>+PROJ!AA5</f>
        <v>-8739.0840000000007</v>
      </c>
      <c r="AB22" s="447">
        <f>+PROJ!AB5</f>
        <v>-8549.6180000000004</v>
      </c>
      <c r="AC22" s="447">
        <f>+PROJ!AC5</f>
        <v>-8357.23</v>
      </c>
      <c r="AD22" s="447">
        <f>+PROJ!AD5</f>
        <v>-8626.6280000000006</v>
      </c>
      <c r="AE22" s="447">
        <f>+PROJ!AE5</f>
        <v>-8477.7739999999994</v>
      </c>
      <c r="AF22" s="447">
        <f>+PROJ!AF5</f>
        <v>-7582.0140000000001</v>
      </c>
      <c r="AG22" s="447">
        <f>+PROJ!AG5</f>
        <v>-7920.5990000000002</v>
      </c>
      <c r="AH22" s="447">
        <f>+PROJ!AH5</f>
        <v>-7961.0060000000003</v>
      </c>
      <c r="AI22" s="447">
        <f>+PROJ!AI5</f>
        <v>-8113.5879999999997</v>
      </c>
      <c r="AJ22" s="447">
        <f>+PROJ!AJ5</f>
        <v>-7942.902</v>
      </c>
      <c r="AK22" s="447">
        <f>+PROJ!AK5</f>
        <v>-8381.4930000000004</v>
      </c>
      <c r="AL22" s="447">
        <f>+PROJ!AL5</f>
        <v>-8550</v>
      </c>
      <c r="AM22" s="447">
        <f>+PROJ!AM5</f>
        <v>-8694.0750000000007</v>
      </c>
      <c r="AN22" s="447">
        <f>+PROJ!AN5</f>
        <v>-8218.3060000000005</v>
      </c>
      <c r="AO22" s="447">
        <f>+PROJ!AO5</f>
        <v>-8377.887999999999</v>
      </c>
      <c r="AP22" s="451">
        <f t="shared" ref="AP22:AS22" si="43">+AP27+AP81</f>
        <v>-8530.1869685550737</v>
      </c>
      <c r="AQ22" s="451">
        <f t="shared" si="43"/>
        <v>-8642.0689364800201</v>
      </c>
      <c r="AR22" s="451">
        <f t="shared" si="43"/>
        <v>-8355.6465196948502</v>
      </c>
      <c r="AS22" s="451">
        <f t="shared" si="43"/>
        <v>-8469.8833514210201</v>
      </c>
      <c r="AU22" s="451">
        <v>-8420.853920172467</v>
      </c>
      <c r="AW22" s="450">
        <f>+PROJ!AW5</f>
        <v>-6257.0839999999998</v>
      </c>
      <c r="AX22" s="450">
        <f>+PROJ!AX5</f>
        <v>-7212.5510000000004</v>
      </c>
      <c r="AY22" s="450">
        <f>+PROJ!AY5</f>
        <v>-7828.87</v>
      </c>
      <c r="AZ22" s="450">
        <f>+PROJ!AZ5</f>
        <v>-9061.3870000000006</v>
      </c>
      <c r="BA22" s="450">
        <f>+PROJ!BA5</f>
        <v>-8797.0949999999993</v>
      </c>
      <c r="BB22" s="450">
        <f>+PROJ!BB5</f>
        <v>-9296.0920000000006</v>
      </c>
      <c r="BC22" s="450">
        <f>+PROJ!BC5</f>
        <v>-10269.191999999999</v>
      </c>
      <c r="BD22" s="450">
        <f>+PROJ!BD5</f>
        <v>-12307.609</v>
      </c>
      <c r="BE22" s="450">
        <f>+PROJ!BE5</f>
        <v>-13678.619000000001</v>
      </c>
      <c r="BF22" s="450">
        <f>+PROJ!BF5</f>
        <v>-11326.652</v>
      </c>
      <c r="BG22" s="450">
        <f>+PROJ!BG5</f>
        <v>-12683.071</v>
      </c>
      <c r="BH22" s="450">
        <f>+PROJ!BH5</f>
        <v>-13833.200999999999</v>
      </c>
      <c r="BI22" s="450">
        <f>+PROJ!BI5</f>
        <v>-14564.753000000001</v>
      </c>
      <c r="BJ22" s="450">
        <f>+PROJ!BJ5</f>
        <v>-15640.626</v>
      </c>
      <c r="BK22" s="450">
        <f>+PROJ!BK5</f>
        <v>-17054</v>
      </c>
      <c r="BL22" s="450">
        <f>+PROJ!BL5</f>
        <v>-17956.306</v>
      </c>
      <c r="BM22" s="450">
        <f>+PROJ!BM5</f>
        <v>-17759.990000000002</v>
      </c>
      <c r="BN22" s="450">
        <f>+PROJ!BN5</f>
        <v>-18379.732</v>
      </c>
      <c r="BO22" s="450">
        <f>+PROJ!BO5</f>
        <v>-19778.456999999999</v>
      </c>
      <c r="BP22" s="450">
        <f>+PROJ!BP5</f>
        <v>-21875.362000000001</v>
      </c>
      <c r="BQ22" s="450">
        <f>+PROJ!BQ5</f>
        <v>-24363.769</v>
      </c>
      <c r="BR22" s="450">
        <f>+PROJ!BR5</f>
        <v>-26686.297999999999</v>
      </c>
      <c r="BS22" s="450">
        <f>+PROJ!BS5</f>
        <v>-27179.508000000002</v>
      </c>
      <c r="BT22" s="450">
        <f>+PROJ!BT5</f>
        <v>-28693.620999999999</v>
      </c>
      <c r="BU22" s="450">
        <f>+PROJ!BU5</f>
        <v>-31108.287000000004</v>
      </c>
      <c r="BV22" s="450">
        <f>+SUMIFS($A22:$AO22,$A$1:$AO$1,"&lt;="&amp;BV$1,$A$1:$AO$1,"&gt;"&amp;BU$1)</f>
        <v>-34282.394</v>
      </c>
      <c r="BW22" s="450">
        <f>+SUMIFS($A22:$AO22,$A$1:$AO$1,"&lt;="&amp;BW$1,$A$1:$AO$1,"&gt;"&amp;BV$1)</f>
        <v>-32607.014999999999</v>
      </c>
      <c r="BX22" s="450">
        <f>+SUMIFS($A22:$AO22,$A$1:$AO$1,"&lt;="&amp;BX$1,$A$1:$AO$1,"&gt;"&amp;BW$1)</f>
        <v>-32398.989000000001</v>
      </c>
      <c r="BY22" s="450">
        <f>+SUMIFS($A22:$AS22,$A$1:$AS$1,"&lt;="&amp;BY$1,$A$1:$AS$1,"&gt;"&amp;BX$1)</f>
        <v>-33840.269</v>
      </c>
      <c r="BZ22" s="450">
        <f>+SUMIFS($A22:$AS22,$A$1:$AS$1,"&lt;="&amp;BZ$1,$A$1:$AS$1,"&gt;"&amp;BY$1)</f>
        <v>-33997.785776150966</v>
      </c>
      <c r="CA22" s="451">
        <f>+CA27+CA81</f>
        <v>-34820.992234643658</v>
      </c>
      <c r="CB22" s="451">
        <f>+CB27+CB81</f>
        <v>-35604.054756889222</v>
      </c>
      <c r="CC22" s="451">
        <f>+CC27+CC81</f>
        <v>-36409.595365133202</v>
      </c>
      <c r="CD22" s="451">
        <f>+CD27+CD81</f>
        <v>-37237.725550091462</v>
      </c>
    </row>
    <row r="23" spans="1:82" s="463" customFormat="1" ht="17.25" customHeight="1">
      <c r="A23" s="463" t="s">
        <v>193</v>
      </c>
      <c r="B23" s="464">
        <f t="shared" ref="B23:AI23" si="44">-B22/B$11</f>
        <v>0.60629145343827462</v>
      </c>
      <c r="C23" s="464">
        <f t="shared" si="44"/>
        <v>0.60900928770483986</v>
      </c>
      <c r="D23" s="464">
        <f t="shared" si="44"/>
        <v>0.61641407257355596</v>
      </c>
      <c r="E23" s="464">
        <f t="shared" si="44"/>
        <v>0.62148828376168086</v>
      </c>
      <c r="F23" s="464">
        <f t="shared" si="44"/>
        <v>0.64485964441769528</v>
      </c>
      <c r="G23" s="464">
        <f t="shared" si="44"/>
        <v>0.64611819500609258</v>
      </c>
      <c r="H23" s="464">
        <f t="shared" si="44"/>
        <v>0.65155944830954526</v>
      </c>
      <c r="I23" s="464">
        <f t="shared" si="44"/>
        <v>0.63812148487164244</v>
      </c>
      <c r="J23" s="464">
        <f t="shared" si="44"/>
        <v>0.63496875657007468</v>
      </c>
      <c r="K23" s="464">
        <f t="shared" si="44"/>
        <v>0.63974616847291776</v>
      </c>
      <c r="L23" s="464">
        <f t="shared" si="44"/>
        <v>0.6607424472062241</v>
      </c>
      <c r="M23" s="464">
        <f t="shared" si="44"/>
        <v>0.66688794271337337</v>
      </c>
      <c r="N23" s="464">
        <f t="shared" si="44"/>
        <v>0.64817504993644448</v>
      </c>
      <c r="O23" s="464">
        <f t="shared" si="44"/>
        <v>0.62798693842571573</v>
      </c>
      <c r="P23" s="464">
        <f t="shared" si="44"/>
        <v>0.61678971153846152</v>
      </c>
      <c r="Q23" s="464">
        <f t="shared" si="44"/>
        <v>0.60535867049347281</v>
      </c>
      <c r="R23" s="464">
        <f t="shared" si="44"/>
        <v>0.60446417529304486</v>
      </c>
      <c r="S23" s="464">
        <f t="shared" si="44"/>
        <v>0.61741104729989049</v>
      </c>
      <c r="T23" s="464">
        <f t="shared" si="44"/>
        <v>0.62123835925342419</v>
      </c>
      <c r="U23" s="464">
        <f t="shared" si="44"/>
        <v>0.6146159746149864</v>
      </c>
      <c r="V23" s="464">
        <f t="shared" si="44"/>
        <v>0.61491451921751628</v>
      </c>
      <c r="W23" s="464">
        <f t="shared" si="44"/>
        <v>0.65504173356953432</v>
      </c>
      <c r="X23" s="464">
        <f t="shared" si="44"/>
        <v>0.68278439880495334</v>
      </c>
      <c r="Y23" s="464">
        <f t="shared" si="44"/>
        <v>0.70299564580610618</v>
      </c>
      <c r="Z23" s="464">
        <f t="shared" si="44"/>
        <v>0.68685080324479075</v>
      </c>
      <c r="AA23" s="464">
        <f t="shared" si="44"/>
        <v>0.67771940731956293</v>
      </c>
      <c r="AB23" s="464">
        <f t="shared" si="44"/>
        <v>0.6682521494450524</v>
      </c>
      <c r="AC23" s="464">
        <f t="shared" si="44"/>
        <v>0.6533151292972541</v>
      </c>
      <c r="AD23" s="464">
        <f t="shared" si="44"/>
        <v>0.63669850173444542</v>
      </c>
      <c r="AE23" s="464">
        <f t="shared" si="44"/>
        <v>0.61818065414852708</v>
      </c>
      <c r="AF23" s="464">
        <f t="shared" si="44"/>
        <v>0.59830173211266968</v>
      </c>
      <c r="AG23" s="464">
        <f t="shared" si="44"/>
        <v>0.59235273612987938</v>
      </c>
      <c r="AH23" s="464">
        <f t="shared" si="44"/>
        <v>0.57732053709841868</v>
      </c>
      <c r="AI23" s="464">
        <f t="shared" si="44"/>
        <v>0.5767406880864373</v>
      </c>
      <c r="AJ23" s="464">
        <f t="shared" ref="AJ23:AK23" si="45">-AJ22/AJ$11</f>
        <v>0.60381009402312613</v>
      </c>
      <c r="AK23" s="464">
        <f t="shared" si="45"/>
        <v>0.60865550019084269</v>
      </c>
      <c r="AL23" s="464">
        <f t="shared" ref="AL23:AM23" si="46">-AL22/AL$11</f>
        <v>0.61808718282368247</v>
      </c>
      <c r="AM23" s="464">
        <f t="shared" si="46"/>
        <v>0.61791577825159916</v>
      </c>
      <c r="AN23" s="464">
        <f t="shared" ref="AN23:AO23" si="47">-AN22/AN$11</f>
        <v>0.6128490678598062</v>
      </c>
      <c r="AO23" s="464">
        <f t="shared" si="47"/>
        <v>0.59595472362319135</v>
      </c>
      <c r="AP23" s="463">
        <f t="shared" ref="AP23:AS23" si="48">-AP22/AP$11</f>
        <v>0.60456360880099691</v>
      </c>
      <c r="AQ23" s="463">
        <f t="shared" si="48"/>
        <v>0.59923857621162624</v>
      </c>
      <c r="AR23" s="463">
        <f t="shared" si="48"/>
        <v>0.60789338278276872</v>
      </c>
      <c r="AS23" s="463">
        <f t="shared" si="48"/>
        <v>0.58780365203594054</v>
      </c>
      <c r="AU23" s="463">
        <v>0.60247669969999529</v>
      </c>
      <c r="AW23" s="463">
        <f t="shared" ref="AW23:BX23" si="49">-AW22/AW11</f>
        <v>0.60716114492539153</v>
      </c>
      <c r="AX23" s="463">
        <f t="shared" si="49"/>
        <v>0.58687646901159551</v>
      </c>
      <c r="AY23" s="463">
        <f t="shared" si="49"/>
        <v>0.56451865278764646</v>
      </c>
      <c r="AZ23" s="463">
        <f t="shared" si="49"/>
        <v>0.56967018378921563</v>
      </c>
      <c r="BA23" s="463">
        <f t="shared" si="49"/>
        <v>0.56269159019582693</v>
      </c>
      <c r="BB23" s="463">
        <f t="shared" si="49"/>
        <v>0.57753907172198882</v>
      </c>
      <c r="BC23" s="463">
        <f t="shared" si="49"/>
        <v>0.60053160878117628</v>
      </c>
      <c r="BD23" s="463">
        <f t="shared" si="49"/>
        <v>0.62163066661905464</v>
      </c>
      <c r="BE23" s="463">
        <f t="shared" si="49"/>
        <v>0.62223300120265035</v>
      </c>
      <c r="BF23" s="463">
        <f t="shared" si="49"/>
        <v>0.56395069783263407</v>
      </c>
      <c r="BG23" s="463">
        <f t="shared" si="49"/>
        <v>0.59045313893941465</v>
      </c>
      <c r="BH23" s="463">
        <f t="shared" si="49"/>
        <v>0.60009924724276331</v>
      </c>
      <c r="BI23" s="463">
        <f t="shared" si="49"/>
        <v>0.58961343008744127</v>
      </c>
      <c r="BJ23" s="463">
        <f t="shared" si="49"/>
        <v>0.59704978359911098</v>
      </c>
      <c r="BK23" s="463">
        <f t="shared" si="49"/>
        <v>0.63795285291251436</v>
      </c>
      <c r="BL23" s="463">
        <f t="shared" si="49"/>
        <v>0.61308120087299423</v>
      </c>
      <c r="BM23" s="463">
        <f t="shared" si="49"/>
        <v>0.59843249684373856</v>
      </c>
      <c r="BN23" s="463">
        <f t="shared" si="49"/>
        <v>0.63145720356645907</v>
      </c>
      <c r="BO23" s="463">
        <f t="shared" si="49"/>
        <v>0.61411890008623793</v>
      </c>
      <c r="BP23" s="463">
        <f t="shared" si="49"/>
        <v>0.6134374939971754</v>
      </c>
      <c r="BQ23" s="463">
        <f t="shared" si="49"/>
        <v>0.64512852382687391</v>
      </c>
      <c r="BR23" s="463">
        <f t="shared" si="49"/>
        <v>0.65045912356352653</v>
      </c>
      <c r="BS23" s="463">
        <f t="shared" si="49"/>
        <v>0.62480293236955931</v>
      </c>
      <c r="BT23" s="463">
        <f t="shared" si="49"/>
        <v>0.61438634585714647</v>
      </c>
      <c r="BU23" s="463">
        <f t="shared" si="49"/>
        <v>0.66337509158694918</v>
      </c>
      <c r="BV23" s="463">
        <f t="shared" si="49"/>
        <v>0.67148129005347101</v>
      </c>
      <c r="BW23" s="463">
        <f t="shared" si="49"/>
        <v>0.61168293036790211</v>
      </c>
      <c r="BX23" s="463">
        <f t="shared" si="49"/>
        <v>0.59140894746056505</v>
      </c>
      <c r="BY23" s="463">
        <f>-BY22/BY11</f>
        <v>0.61115590497518679</v>
      </c>
      <c r="BZ23" s="463">
        <f>-BZ22/BZ11</f>
        <v>0.59975593056021081</v>
      </c>
      <c r="CA23" s="463">
        <f>-CA22/CA$11</f>
        <v>0.6022334703006188</v>
      </c>
      <c r="CB23" s="463">
        <f>-CB22/CB$11</f>
        <v>0.60370258410491684</v>
      </c>
      <c r="CC23" s="463">
        <f>-CC22/CC$11</f>
        <v>0.60525621166599031</v>
      </c>
      <c r="CD23" s="463">
        <f>-CD22/CD$11</f>
        <v>0.60688496415171378</v>
      </c>
    </row>
    <row r="24" spans="1:82" ht="17.25" customHeight="1">
      <c r="A24" s="423" t="s">
        <v>51</v>
      </c>
      <c r="B24" s="430"/>
      <c r="F24" s="431">
        <f t="shared" ref="F24:AJ24" si="50">F22/B22-1</f>
        <v>0.16136649493263655</v>
      </c>
      <c r="G24" s="431">
        <f t="shared" si="50"/>
        <v>0.15398216859512992</v>
      </c>
      <c r="H24" s="431">
        <f t="shared" si="50"/>
        <v>0.11493738553053912</v>
      </c>
      <c r="I24" s="431">
        <f t="shared" si="50"/>
        <v>3.2336664101898283E-2</v>
      </c>
      <c r="J24" s="431">
        <f t="shared" si="50"/>
        <v>5.4582449266495692E-2</v>
      </c>
      <c r="K24" s="431">
        <f t="shared" si="50"/>
        <v>9.1430021509534276E-2</v>
      </c>
      <c r="L24" s="431">
        <f t="shared" si="50"/>
        <v>9.1247631855562394E-2</v>
      </c>
      <c r="M24" s="431">
        <f t="shared" si="50"/>
        <v>0.14501219342402449</v>
      </c>
      <c r="N24" s="431">
        <f t="shared" si="50"/>
        <v>0.1014774053642058</v>
      </c>
      <c r="O24" s="431">
        <f t="shared" si="50"/>
        <v>4.626517656072493E-2</v>
      </c>
      <c r="P24" s="431">
        <f t="shared" si="50"/>
        <v>-1.9077531651376711E-2</v>
      </c>
      <c r="Q24" s="431">
        <f t="shared" si="50"/>
        <v>-5.1242088217284154E-2</v>
      </c>
      <c r="R24" s="431">
        <f t="shared" si="50"/>
        <v>-1.0009945370500151E-2</v>
      </c>
      <c r="S24" s="431">
        <f t="shared" si="50"/>
        <v>7.4744307375212538E-2</v>
      </c>
      <c r="T24" s="431">
        <f t="shared" si="50"/>
        <v>7.4726721627633719E-2</v>
      </c>
      <c r="U24" s="431">
        <f t="shared" si="50"/>
        <v>8.8168364538602884E-2</v>
      </c>
      <c r="V24" s="431">
        <f t="shared" si="50"/>
        <v>5.3547352197136799E-2</v>
      </c>
      <c r="W24" s="431">
        <f t="shared" si="50"/>
        <v>8.0583839646273248E-3</v>
      </c>
      <c r="X24" s="431">
        <f t="shared" si="50"/>
        <v>0.12347076192537343</v>
      </c>
      <c r="Y24" s="431">
        <f t="shared" si="50"/>
        <v>0.15792542086638228</v>
      </c>
      <c r="Z24" s="431">
        <f t="shared" si="50"/>
        <v>0.15988142337610833</v>
      </c>
      <c r="AA24" s="431">
        <f t="shared" si="50"/>
        <v>0.13811762701825425</v>
      </c>
      <c r="AB24" s="431">
        <f t="shared" si="50"/>
        <v>0.10386618323344732</v>
      </c>
      <c r="AC24" s="431">
        <f t="shared" si="50"/>
        <v>1.43992911416988E-2</v>
      </c>
      <c r="AD24" s="431">
        <f t="shared" si="50"/>
        <v>-1.1386607154642014E-3</v>
      </c>
      <c r="AE24" s="431">
        <f t="shared" si="50"/>
        <v>-2.9901303157173098E-2</v>
      </c>
      <c r="AF24" s="431">
        <f t="shared" si="50"/>
        <v>-0.11317511495835253</v>
      </c>
      <c r="AG24" s="431">
        <f t="shared" si="50"/>
        <v>-5.2245899658140194E-2</v>
      </c>
      <c r="AH24" s="431">
        <f t="shared" si="50"/>
        <v>-7.7159001176357656E-2</v>
      </c>
      <c r="AI24" s="431">
        <f t="shared" si="50"/>
        <v>-4.295773867055197E-2</v>
      </c>
      <c r="AJ24" s="431">
        <f t="shared" si="50"/>
        <v>4.7597907363399639E-2</v>
      </c>
      <c r="AK24" s="431">
        <f>AK22/AG22-1</f>
        <v>5.8189285936581348E-2</v>
      </c>
      <c r="AL24" s="431">
        <f>AL22/AH22-1</f>
        <v>7.3984870756283794E-2</v>
      </c>
      <c r="AM24" s="431">
        <f>AM22/AI22-1</f>
        <v>7.1545042711067097E-2</v>
      </c>
      <c r="AN24" s="431">
        <f>AN22/AJ22-1</f>
        <v>3.467296965265354E-2</v>
      </c>
      <c r="AO24" s="431">
        <f>AO22/AK22-1</f>
        <v>-4.3011430063844003E-4</v>
      </c>
      <c r="AP24" s="459">
        <f t="shared" ref="AP24:AS24" si="51">AP22/AL22-1</f>
        <v>-2.3173136192896626E-3</v>
      </c>
      <c r="AQ24" s="459">
        <f t="shared" si="51"/>
        <v>-5.9817822505534579E-3</v>
      </c>
      <c r="AR24" s="459">
        <f t="shared" si="51"/>
        <v>1.6711536379254932E-2</v>
      </c>
      <c r="AS24" s="459">
        <f t="shared" si="51"/>
        <v>1.0980733022573297E-2</v>
      </c>
      <c r="AU24" s="459">
        <v>4.6961704999892717E-3</v>
      </c>
      <c r="AX24" s="433">
        <f t="shared" ref="AX24:BO24" si="52">AX22/AW22-1</f>
        <v>0.1527016418510605</v>
      </c>
      <c r="AY24" s="433">
        <f t="shared" si="52"/>
        <v>8.5450903570733816E-2</v>
      </c>
      <c r="AZ24" s="433">
        <f t="shared" si="52"/>
        <v>0.15743229865868269</v>
      </c>
      <c r="BA24" s="433">
        <f t="shared" si="52"/>
        <v>-2.9166837262330936E-2</v>
      </c>
      <c r="BB24" s="433">
        <f t="shared" si="52"/>
        <v>5.6722929557996293E-2</v>
      </c>
      <c r="BC24" s="433">
        <f t="shared" si="52"/>
        <v>0.1046783960399702</v>
      </c>
      <c r="BD24" s="433">
        <f t="shared" si="52"/>
        <v>0.19849828496730826</v>
      </c>
      <c r="BE24" s="433">
        <f t="shared" si="52"/>
        <v>0.1113953165070487</v>
      </c>
      <c r="BF24" s="433">
        <f t="shared" si="52"/>
        <v>-0.17194477015552523</v>
      </c>
      <c r="BG24" s="433">
        <f t="shared" si="52"/>
        <v>0.11975462828733496</v>
      </c>
      <c r="BH24" s="433">
        <f t="shared" si="52"/>
        <v>9.0682296109514837E-2</v>
      </c>
      <c r="BI24" s="433">
        <f t="shared" si="52"/>
        <v>5.2883783008719432E-2</v>
      </c>
      <c r="BJ24" s="433">
        <f t="shared" si="52"/>
        <v>7.3868262647502458E-2</v>
      </c>
      <c r="BK24" s="433">
        <f t="shared" si="52"/>
        <v>9.0365564651951891E-2</v>
      </c>
      <c r="BL24" s="433">
        <f t="shared" si="52"/>
        <v>5.2908760408115318E-2</v>
      </c>
      <c r="BM24" s="433">
        <f t="shared" si="52"/>
        <v>-1.0932983654878603E-2</v>
      </c>
      <c r="BN24" s="433">
        <f t="shared" si="52"/>
        <v>3.4895402531194941E-2</v>
      </c>
      <c r="BO24" s="433">
        <f t="shared" si="52"/>
        <v>7.6101490489632662E-2</v>
      </c>
      <c r="BP24" s="433">
        <f t="shared" ref="BP24:BW24" si="53">BP22/BO22-1</f>
        <v>0.10601964551633136</v>
      </c>
      <c r="BQ24" s="433">
        <f t="shared" si="53"/>
        <v>0.11375386610744997</v>
      </c>
      <c r="BR24" s="433">
        <f t="shared" si="53"/>
        <v>9.5327163871895104E-2</v>
      </c>
      <c r="BS24" s="433">
        <f t="shared" si="53"/>
        <v>1.8481769183571473E-2</v>
      </c>
      <c r="BT24" s="433">
        <f t="shared" si="53"/>
        <v>5.570788845773067E-2</v>
      </c>
      <c r="BU24" s="433">
        <f t="shared" si="53"/>
        <v>8.4153408173893496E-2</v>
      </c>
      <c r="BV24" s="433">
        <f t="shared" si="53"/>
        <v>0.10203413000529404</v>
      </c>
      <c r="BW24" s="433">
        <f t="shared" si="53"/>
        <v>-4.8869953481078365E-2</v>
      </c>
      <c r="BX24" s="438">
        <f t="shared" ref="BX24:CD24" si="54">BX22/BW22-1</f>
        <v>-6.3797928145216121E-3</v>
      </c>
      <c r="BY24" s="438">
        <f t="shared" si="54"/>
        <v>4.4485338724612689E-2</v>
      </c>
      <c r="BZ24" s="438">
        <f t="shared" si="54"/>
        <v>4.6547140671655551E-3</v>
      </c>
      <c r="CA24" s="459">
        <f t="shared" si="54"/>
        <v>2.4213531549168055E-2</v>
      </c>
      <c r="CB24" s="459">
        <f t="shared" si="54"/>
        <v>2.2488231150015636E-2</v>
      </c>
      <c r="CC24" s="459">
        <f t="shared" si="54"/>
        <v>2.2624968244329358E-2</v>
      </c>
      <c r="CD24" s="459">
        <f t="shared" si="54"/>
        <v>2.2744833515818241E-2</v>
      </c>
    </row>
    <row r="25" spans="1:82" ht="17.25" customHeight="1">
      <c r="A25" s="423" t="s">
        <v>183</v>
      </c>
      <c r="B25" s="430"/>
      <c r="C25" s="431">
        <f t="shared" ref="C25:AJ25" si="55">C22/B22-1</f>
        <v>1.6340432479500677E-2</v>
      </c>
      <c r="D25" s="431">
        <f t="shared" si="55"/>
        <v>-6.6562843505180158E-4</v>
      </c>
      <c r="E25" s="431">
        <f t="shared" si="55"/>
        <v>8.4745541970337124E-2</v>
      </c>
      <c r="F25" s="431">
        <f t="shared" si="55"/>
        <v>5.4123245411974663E-2</v>
      </c>
      <c r="G25" s="431">
        <f t="shared" si="55"/>
        <v>9.8782265727712648E-3</v>
      </c>
      <c r="H25" s="431">
        <f t="shared" si="55"/>
        <v>-3.4477930573346027E-2</v>
      </c>
      <c r="I25" s="431">
        <f t="shared" si="55"/>
        <v>4.3815991193081327E-3</v>
      </c>
      <c r="J25" s="431">
        <f t="shared" si="55"/>
        <v>7.6838508823493301E-2</v>
      </c>
      <c r="K25" s="431">
        <f t="shared" si="55"/>
        <v>4.5163813713154477E-2</v>
      </c>
      <c r="L25" s="431">
        <f t="shared" si="55"/>
        <v>-3.4639279659109068E-2</v>
      </c>
      <c r="M25" s="431">
        <f t="shared" si="55"/>
        <v>5.3866367514414204E-2</v>
      </c>
      <c r="N25" s="431">
        <f t="shared" si="55"/>
        <v>3.5895769064457905E-2</v>
      </c>
      <c r="O25" s="431">
        <f t="shared" si="55"/>
        <v>-7.2256618574029208E-3</v>
      </c>
      <c r="P25" s="431">
        <f t="shared" si="55"/>
        <v>-9.4929237962044222E-2</v>
      </c>
      <c r="Q25" s="431">
        <f t="shared" si="55"/>
        <v>1.9309972402076214E-2</v>
      </c>
      <c r="R25" s="431">
        <f t="shared" si="55"/>
        <v>8.0914842733302184E-2</v>
      </c>
      <c r="S25" s="431">
        <f t="shared" si="55"/>
        <v>7.7766956786513575E-2</v>
      </c>
      <c r="T25" s="431">
        <f t="shared" si="55"/>
        <v>-9.4944047387740316E-2</v>
      </c>
      <c r="U25" s="431">
        <f t="shared" si="55"/>
        <v>3.2058516184321428E-2</v>
      </c>
      <c r="V25" s="431">
        <f t="shared" si="55"/>
        <v>4.652460742609299E-2</v>
      </c>
      <c r="W25" s="431">
        <f t="shared" si="55"/>
        <v>3.1232259739373713E-2</v>
      </c>
      <c r="X25" s="431">
        <f t="shared" si="55"/>
        <v>8.6756053427852198E-3</v>
      </c>
      <c r="Y25" s="431">
        <f t="shared" si="55"/>
        <v>6.370973968510385E-2</v>
      </c>
      <c r="Z25" s="431">
        <f t="shared" si="55"/>
        <v>4.8292428325200865E-2</v>
      </c>
      <c r="AA25" s="431">
        <f t="shared" si="55"/>
        <v>1.1882412034001977E-2</v>
      </c>
      <c r="AB25" s="431">
        <f t="shared" si="55"/>
        <v>-2.1680304251566862E-2</v>
      </c>
      <c r="AC25" s="431">
        <f t="shared" si="55"/>
        <v>-2.2502525843844823E-2</v>
      </c>
      <c r="AD25" s="431">
        <f t="shared" si="55"/>
        <v>3.2235321990659704E-2</v>
      </c>
      <c r="AE25" s="431">
        <f t="shared" si="55"/>
        <v>-1.7255177805279298E-2</v>
      </c>
      <c r="AF25" s="431">
        <f t="shared" si="55"/>
        <v>-0.10565981117213075</v>
      </c>
      <c r="AG25" s="431">
        <f t="shared" si="55"/>
        <v>4.4656340650386595E-2</v>
      </c>
      <c r="AH25" s="431">
        <f t="shared" si="55"/>
        <v>5.1015081056369205E-3</v>
      </c>
      <c r="AI25" s="431">
        <f t="shared" si="55"/>
        <v>1.9166170707571206E-2</v>
      </c>
      <c r="AJ25" s="431">
        <f t="shared" si="55"/>
        <v>-2.103705536933842E-2</v>
      </c>
      <c r="AK25" s="431">
        <f>AK22/AJ22-1</f>
        <v>5.5217979524360361E-2</v>
      </c>
      <c r="AL25" s="431">
        <f>AL22/AK22-1</f>
        <v>2.0104651999351297E-2</v>
      </c>
      <c r="AM25" s="431">
        <f>AM22/AL22-1</f>
        <v>1.6850877192982505E-2</v>
      </c>
      <c r="AN25" s="431">
        <f>AN22/AM22-1</f>
        <v>-5.4723360449501546E-2</v>
      </c>
      <c r="AO25" s="431">
        <f>AO22/AN22-1</f>
        <v>1.9417870300765028E-2</v>
      </c>
      <c r="AP25" s="432">
        <f t="shared" ref="AP25:AS25" si="56">AP22/AO22-1</f>
        <v>1.8178682808253743E-2</v>
      </c>
      <c r="AQ25" s="432">
        <f t="shared" si="56"/>
        <v>1.3116004178733487E-2</v>
      </c>
      <c r="AR25" s="432">
        <f t="shared" si="56"/>
        <v>-3.3142806299093497E-2</v>
      </c>
      <c r="AS25" s="432">
        <f t="shared" si="56"/>
        <v>1.3671812403373673E-2</v>
      </c>
      <c r="AU25" s="432">
        <v>2.4645945304599959E-2</v>
      </c>
      <c r="AX25" s="433"/>
      <c r="AY25" s="433"/>
      <c r="AZ25" s="433"/>
      <c r="BA25" s="433"/>
      <c r="BB25" s="433"/>
      <c r="BC25" s="433"/>
      <c r="BD25" s="433"/>
      <c r="BE25" s="433"/>
      <c r="BF25" s="433"/>
      <c r="BG25" s="433"/>
      <c r="BH25" s="433"/>
      <c r="BI25" s="433"/>
      <c r="BJ25" s="433"/>
      <c r="BK25" s="433"/>
      <c r="BL25" s="433"/>
      <c r="BM25" s="433"/>
      <c r="BN25" s="433"/>
      <c r="BO25" s="433"/>
      <c r="BP25" s="433"/>
      <c r="BQ25" s="433"/>
      <c r="BR25" s="433"/>
      <c r="BS25" s="433"/>
      <c r="BT25" s="433"/>
      <c r="BU25" s="433"/>
      <c r="BV25" s="433"/>
      <c r="BW25" s="433"/>
      <c r="BX25" s="433"/>
      <c r="BY25" s="433"/>
      <c r="BZ25" s="433"/>
      <c r="CA25" s="432"/>
      <c r="CB25" s="432"/>
      <c r="CC25" s="432"/>
      <c r="CD25" s="432"/>
    </row>
    <row r="26" spans="1:82" s="438" customFormat="1" ht="17.25" customHeight="1">
      <c r="B26" s="431"/>
      <c r="C26" s="431"/>
      <c r="D26" s="431"/>
      <c r="E26" s="431"/>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431"/>
      <c r="AE26" s="431"/>
      <c r="AF26" s="431"/>
      <c r="AG26" s="431"/>
      <c r="AH26" s="431"/>
      <c r="AI26" s="431"/>
      <c r="AJ26" s="431"/>
      <c r="AK26" s="431"/>
      <c r="AL26" s="431"/>
      <c r="AM26" s="431"/>
      <c r="AN26" s="431"/>
      <c r="AO26" s="431"/>
      <c r="AP26" s="432"/>
      <c r="AQ26" s="432"/>
      <c r="AR26" s="432"/>
      <c r="AS26" s="432"/>
      <c r="AU26" s="432"/>
      <c r="CA26" s="432"/>
      <c r="CB26" s="432"/>
      <c r="CC26" s="432"/>
      <c r="CD26" s="432"/>
    </row>
    <row r="27" spans="1:82" s="460" customFormat="1" ht="17.25" customHeight="1">
      <c r="A27" s="460" t="s">
        <v>194</v>
      </c>
      <c r="B27" s="461">
        <f t="shared" ref="B27:AI27" si="57">+B22-B81</f>
        <v>-4883.6830000000009</v>
      </c>
      <c r="C27" s="461">
        <f t="shared" si="57"/>
        <v>-4965.8600000000006</v>
      </c>
      <c r="D27" s="461">
        <f t="shared" si="57"/>
        <v>-4962.5330000000004</v>
      </c>
      <c r="E27" s="461">
        <f t="shared" si="57"/>
        <v>-5462.3670000000002</v>
      </c>
      <c r="F27" s="461">
        <f t="shared" si="57"/>
        <v>-5709.6970000000001</v>
      </c>
      <c r="G27" s="461">
        <f t="shared" si="57"/>
        <v>-5791.4380000000001</v>
      </c>
      <c r="H27" s="461">
        <f t="shared" si="57"/>
        <v>-5624.625</v>
      </c>
      <c r="I27" s="461">
        <f t="shared" si="57"/>
        <v>-5638.1850000000004</v>
      </c>
      <c r="J27" s="461">
        <f t="shared" si="57"/>
        <v>-6065.2950000000001</v>
      </c>
      <c r="K27" s="461">
        <f t="shared" si="57"/>
        <v>-6371.0150000000003</v>
      </c>
      <c r="L27" s="461">
        <f t="shared" si="57"/>
        <v>-6178.3680000000004</v>
      </c>
      <c r="M27" s="461">
        <f t="shared" si="57"/>
        <v>-6509.2820000000002</v>
      </c>
      <c r="N27" s="461">
        <f t="shared" si="57"/>
        <v>-6641</v>
      </c>
      <c r="O27" s="461">
        <f t="shared" si="57"/>
        <v>-6582.6450000000004</v>
      </c>
      <c r="P27" s="461">
        <f t="shared" si="57"/>
        <v>-5931.384</v>
      </c>
      <c r="Q27" s="461">
        <f t="shared" si="57"/>
        <v>-6079.0240000000003</v>
      </c>
      <c r="R27" s="461">
        <f t="shared" si="57"/>
        <v>-6554.7539999999999</v>
      </c>
      <c r="S27" s="461">
        <f t="shared" si="57"/>
        <v>-7105.6970000000001</v>
      </c>
      <c r="T27" s="461">
        <f t="shared" si="57"/>
        <v>-6408.8240000000005</v>
      </c>
      <c r="U27" s="461">
        <f t="shared" si="57"/>
        <v>-6671.0110000000004</v>
      </c>
      <c r="V27" s="461">
        <f t="shared" si="57"/>
        <v>-6944.9870000000001</v>
      </c>
      <c r="W27" s="461">
        <f t="shared" si="57"/>
        <v>-7192.5420000000004</v>
      </c>
      <c r="X27" s="461">
        <f t="shared" si="57"/>
        <v>-7247.741</v>
      </c>
      <c r="Y27" s="461">
        <f t="shared" si="57"/>
        <v>-7787.7360000000008</v>
      </c>
      <c r="Z27" s="461">
        <f t="shared" si="57"/>
        <v>-8127.4619999999995</v>
      </c>
      <c r="AA27" s="461">
        <f t="shared" si="57"/>
        <v>-8220.0840000000007</v>
      </c>
      <c r="AB27" s="461">
        <f t="shared" si="57"/>
        <v>-8046.6180000000004</v>
      </c>
      <c r="AC27" s="461">
        <f t="shared" si="57"/>
        <v>-7919.503999999999</v>
      </c>
      <c r="AD27" s="461">
        <f t="shared" si="57"/>
        <v>-8143.6690000000008</v>
      </c>
      <c r="AE27" s="461">
        <f t="shared" si="57"/>
        <v>-7994.8519999999999</v>
      </c>
      <c r="AF27" s="461">
        <f t="shared" si="57"/>
        <v>-7095.8950000000004</v>
      </c>
      <c r="AG27" s="461">
        <f t="shared" si="57"/>
        <v>-7388.0789999999997</v>
      </c>
      <c r="AH27" s="461">
        <f t="shared" si="57"/>
        <v>-7466.8740000000007</v>
      </c>
      <c r="AI27" s="461">
        <f t="shared" si="57"/>
        <v>-7618.2669999999998</v>
      </c>
      <c r="AJ27" s="461">
        <f t="shared" ref="AJ27:AO27" si="58">+AJ22-AJ81</f>
        <v>-7443.0870000000004</v>
      </c>
      <c r="AK27" s="461">
        <f t="shared" si="58"/>
        <v>-7823.0880000000006</v>
      </c>
      <c r="AL27" s="461">
        <f t="shared" si="58"/>
        <v>-8055.81</v>
      </c>
      <c r="AM27" s="461">
        <f t="shared" si="58"/>
        <v>-8171.4920000000002</v>
      </c>
      <c r="AN27" s="461">
        <f t="shared" si="58"/>
        <v>-7716.402000000001</v>
      </c>
      <c r="AO27" s="461">
        <f t="shared" si="58"/>
        <v>-7879.9679999999989</v>
      </c>
      <c r="AP27" s="462">
        <f t="shared" ref="AP27:AS27" si="59">+AP32*(1+AP34)</f>
        <v>-8032.1303655569909</v>
      </c>
      <c r="AQ27" s="462">
        <f t="shared" si="59"/>
        <v>-8117.3199655201097</v>
      </c>
      <c r="AR27" s="462">
        <f t="shared" si="59"/>
        <v>-7859.8612009024391</v>
      </c>
      <c r="AS27" s="462">
        <f t="shared" si="59"/>
        <v>-7978.209061368274</v>
      </c>
      <c r="AU27" s="462">
        <v>-7851.3857663248755</v>
      </c>
      <c r="AW27" s="460">
        <f t="shared" ref="AW27:BX27" si="60">+AW22-AW81</f>
        <v>-5644.942</v>
      </c>
      <c r="AX27" s="460">
        <f t="shared" si="60"/>
        <v>-6503.0340000000006</v>
      </c>
      <c r="AY27" s="460">
        <f t="shared" si="60"/>
        <v>-7017.1279999999997</v>
      </c>
      <c r="AZ27" s="460">
        <f t="shared" si="60"/>
        <v>-8225.393</v>
      </c>
      <c r="BA27" s="460">
        <f t="shared" si="60"/>
        <v>-7866.0639999999994</v>
      </c>
      <c r="BB27" s="460">
        <f t="shared" si="60"/>
        <v>-8212.3790000000008</v>
      </c>
      <c r="BC27" s="460">
        <f t="shared" si="60"/>
        <v>-9097.8259999999991</v>
      </c>
      <c r="BD27" s="460">
        <f t="shared" si="60"/>
        <v>-11066.6</v>
      </c>
      <c r="BE27" s="460">
        <f t="shared" si="60"/>
        <v>-12393.686000000002</v>
      </c>
      <c r="BF27" s="460">
        <f t="shared" si="60"/>
        <v>-10325.316000000001</v>
      </c>
      <c r="BG27" s="460">
        <f t="shared" si="60"/>
        <v>-11637.565999999999</v>
      </c>
      <c r="BH27" s="460">
        <f t="shared" si="60"/>
        <v>-12678.207999999999</v>
      </c>
      <c r="BI27" s="460">
        <f t="shared" si="60"/>
        <v>-13370.522000000001</v>
      </c>
      <c r="BJ27" s="460">
        <f t="shared" si="60"/>
        <v>-14451.043</v>
      </c>
      <c r="BK27" s="460">
        <f t="shared" si="60"/>
        <v>-15711</v>
      </c>
      <c r="BL27" s="460">
        <f t="shared" si="60"/>
        <v>-16457.832000000002</v>
      </c>
      <c r="BM27" s="460">
        <f t="shared" si="60"/>
        <v>-16243.077000000001</v>
      </c>
      <c r="BN27" s="460">
        <f t="shared" si="60"/>
        <v>-16763.732</v>
      </c>
      <c r="BO27" s="460">
        <f t="shared" si="60"/>
        <v>-18113.683999999997</v>
      </c>
      <c r="BP27" s="460">
        <f t="shared" si="60"/>
        <v>-20274.442999999999</v>
      </c>
      <c r="BQ27" s="460">
        <f t="shared" si="60"/>
        <v>-23983.135999999999</v>
      </c>
      <c r="BR27" s="460">
        <f t="shared" si="60"/>
        <v>-26303.96</v>
      </c>
      <c r="BS27" s="460">
        <f t="shared" si="60"/>
        <v>-26720.053</v>
      </c>
      <c r="BT27" s="460">
        <f t="shared" si="60"/>
        <v>-26740.286</v>
      </c>
      <c r="BU27" s="460">
        <f t="shared" si="60"/>
        <v>-29173.006000000005</v>
      </c>
      <c r="BV27" s="460">
        <f t="shared" si="60"/>
        <v>-32313.668000000001</v>
      </c>
      <c r="BW27" s="460">
        <f t="shared" si="60"/>
        <v>-30622.494999999999</v>
      </c>
      <c r="BX27" s="460">
        <f t="shared" si="60"/>
        <v>-30351.316000000003</v>
      </c>
      <c r="BY27" s="460">
        <f>+BY22-BY81</f>
        <v>-31823.671999999999</v>
      </c>
      <c r="BZ27" s="460">
        <f>+BZ22-BZ81</f>
        <v>-31987.520593347817</v>
      </c>
      <c r="CA27" s="462">
        <f t="shared" ref="CA27:CD27" si="61">+CA32*(1+CA34)</f>
        <v>-32825.70599428389</v>
      </c>
      <c r="CB27" s="462">
        <f t="shared" si="61"/>
        <v>-33605.783016892412</v>
      </c>
      <c r="CC27" s="462">
        <f t="shared" si="61"/>
        <v>-34404.397954917215</v>
      </c>
      <c r="CD27" s="462">
        <f t="shared" si="61"/>
        <v>-35221.991347302559</v>
      </c>
    </row>
    <row r="28" spans="1:82" s="463" customFormat="1" ht="17.25" customHeight="1">
      <c r="A28" s="463" t="s">
        <v>193</v>
      </c>
      <c r="B28" s="464">
        <f t="shared" ref="B28:AI28" si="62">-B27/B$11</f>
        <v>0.55952172681170964</v>
      </c>
      <c r="C28" s="464">
        <f t="shared" si="62"/>
        <v>0.56229889123444632</v>
      </c>
      <c r="D28" s="464">
        <f t="shared" si="62"/>
        <v>0.56913326139460296</v>
      </c>
      <c r="E28" s="464">
        <f t="shared" si="62"/>
        <v>0.58226939332074645</v>
      </c>
      <c r="F28" s="464">
        <f t="shared" si="62"/>
        <v>0.59909681624526212</v>
      </c>
      <c r="G28" s="464">
        <f t="shared" si="62"/>
        <v>0.60290394293926497</v>
      </c>
      <c r="H28" s="464">
        <f t="shared" si="62"/>
        <v>0.61155448596152395</v>
      </c>
      <c r="I28" s="464">
        <f t="shared" si="62"/>
        <v>0.59776636944014949</v>
      </c>
      <c r="J28" s="464">
        <f t="shared" si="62"/>
        <v>0.59421347498928712</v>
      </c>
      <c r="K28" s="464">
        <f t="shared" si="62"/>
        <v>0.60168636112165186</v>
      </c>
      <c r="L28" s="464">
        <f t="shared" si="62"/>
        <v>0.62426674749924227</v>
      </c>
      <c r="M28" s="464">
        <f t="shared" si="62"/>
        <v>0.62988987807238239</v>
      </c>
      <c r="N28" s="464">
        <f t="shared" si="62"/>
        <v>0.60295986925730893</v>
      </c>
      <c r="O28" s="464">
        <f t="shared" si="62"/>
        <v>0.58326124504238863</v>
      </c>
      <c r="P28" s="464">
        <f t="shared" si="62"/>
        <v>0.57032538461538462</v>
      </c>
      <c r="Q28" s="464">
        <f t="shared" si="62"/>
        <v>0.56282047958522363</v>
      </c>
      <c r="R28" s="464">
        <f t="shared" si="62"/>
        <v>0.56060730204089249</v>
      </c>
      <c r="S28" s="464">
        <f t="shared" si="62"/>
        <v>0.57595426990711629</v>
      </c>
      <c r="T28" s="464">
        <f t="shared" si="62"/>
        <v>0.57752142695775366</v>
      </c>
      <c r="U28" s="464">
        <f t="shared" si="62"/>
        <v>0.57626556858209799</v>
      </c>
      <c r="V28" s="464">
        <f t="shared" si="62"/>
        <v>0.5735402629734514</v>
      </c>
      <c r="W28" s="464">
        <f t="shared" si="62"/>
        <v>0.61358200299636123</v>
      </c>
      <c r="X28" s="464">
        <f t="shared" si="62"/>
        <v>0.63893396124120527</v>
      </c>
      <c r="Y28" s="464">
        <f t="shared" si="62"/>
        <v>0.66452364463470281</v>
      </c>
      <c r="Z28" s="464">
        <f t="shared" si="62"/>
        <v>0.64637044695403212</v>
      </c>
      <c r="AA28" s="464">
        <f t="shared" si="62"/>
        <v>0.63747075283828625</v>
      </c>
      <c r="AB28" s="464">
        <f t="shared" si="62"/>
        <v>0.62893684539627959</v>
      </c>
      <c r="AC28" s="464">
        <f t="shared" si="62"/>
        <v>0.61909649246581944</v>
      </c>
      <c r="AD28" s="464">
        <f t="shared" si="62"/>
        <v>0.60105314045317004</v>
      </c>
      <c r="AE28" s="464">
        <f t="shared" si="62"/>
        <v>0.58296704290308521</v>
      </c>
      <c r="AF28" s="464">
        <f t="shared" si="62"/>
        <v>0.55994176077617797</v>
      </c>
      <c r="AG28" s="464">
        <f t="shared" si="62"/>
        <v>0.55252750586081967</v>
      </c>
      <c r="AH28" s="464">
        <f t="shared" si="62"/>
        <v>0.5414868055778651</v>
      </c>
      <c r="AI28" s="464">
        <f t="shared" si="62"/>
        <v>0.54153163207278932</v>
      </c>
      <c r="AJ28" s="464">
        <f t="shared" ref="AJ28" si="63">-AJ27/AJ$11</f>
        <v>0.56581474394274389</v>
      </c>
      <c r="AK28" s="464">
        <f>-AK27/AK$11</f>
        <v>0.56810469682155429</v>
      </c>
      <c r="AL28" s="464">
        <f>-AL27/AL$11</f>
        <v>0.58236174365647364</v>
      </c>
      <c r="AM28" s="464">
        <f>-AM27/AM$11</f>
        <v>0.5807741293532338</v>
      </c>
      <c r="AN28" s="464">
        <f>-AN27/AN$11</f>
        <v>0.57542147651006714</v>
      </c>
      <c r="AO28" s="464">
        <f>-AO27/AO$11</f>
        <v>0.56053556118195802</v>
      </c>
      <c r="AP28" s="464">
        <f t="shared" ref="AP28:AS28" si="64">-AP27/AP$11</f>
        <v>0.56926462902415731</v>
      </c>
      <c r="AQ28" s="464">
        <f t="shared" si="64"/>
        <v>0.56285263338499913</v>
      </c>
      <c r="AR28" s="464">
        <f t="shared" si="64"/>
        <v>0.5718238082903141</v>
      </c>
      <c r="AS28" s="464">
        <f t="shared" si="64"/>
        <v>0.55368181926516291</v>
      </c>
      <c r="AU28" s="465">
        <v>0.56173364713468965</v>
      </c>
      <c r="AW28" s="463">
        <f t="shared" ref="AW28:BX28" si="65">-AW27/AW$11</f>
        <v>0.54776145689548517</v>
      </c>
      <c r="AX28" s="463">
        <f t="shared" si="65"/>
        <v>0.52914393697630036</v>
      </c>
      <c r="AY28" s="463">
        <f t="shared" si="65"/>
        <v>0.50598613145938964</v>
      </c>
      <c r="AZ28" s="463">
        <f t="shared" si="65"/>
        <v>0.51711301394019782</v>
      </c>
      <c r="BA28" s="463">
        <f t="shared" si="65"/>
        <v>0.50313973655418598</v>
      </c>
      <c r="BB28" s="463">
        <f t="shared" si="65"/>
        <v>0.5102111451015281</v>
      </c>
      <c r="BC28" s="463">
        <f t="shared" si="65"/>
        <v>0.53203135009952229</v>
      </c>
      <c r="BD28" s="463">
        <f t="shared" si="65"/>
        <v>0.55894999062827155</v>
      </c>
      <c r="BE28" s="463">
        <f t="shared" si="65"/>
        <v>0.56378209201844653</v>
      </c>
      <c r="BF28" s="463">
        <f t="shared" si="65"/>
        <v>0.51409447059399915</v>
      </c>
      <c r="BG28" s="463">
        <f t="shared" si="65"/>
        <v>0.5417802497766202</v>
      </c>
      <c r="BH28" s="463">
        <f t="shared" si="65"/>
        <v>0.54999439950212392</v>
      </c>
      <c r="BI28" s="463">
        <f t="shared" si="65"/>
        <v>0.54126831663259889</v>
      </c>
      <c r="BJ28" s="463">
        <f t="shared" si="65"/>
        <v>0.55163981901564862</v>
      </c>
      <c r="BK28" s="463">
        <f t="shared" si="65"/>
        <v>0.58771415926518777</v>
      </c>
      <c r="BL28" s="463">
        <f t="shared" si="65"/>
        <v>0.56191888277722557</v>
      </c>
      <c r="BM28" s="463">
        <f t="shared" si="65"/>
        <v>0.54731929046891936</v>
      </c>
      <c r="BN28" s="463">
        <f t="shared" si="65"/>
        <v>0.57593763228199213</v>
      </c>
      <c r="BO28" s="463">
        <f t="shared" si="65"/>
        <v>0.56242788275089839</v>
      </c>
      <c r="BP28" s="463">
        <f t="shared" si="65"/>
        <v>0.56854389454714271</v>
      </c>
      <c r="BQ28" s="463">
        <f t="shared" si="65"/>
        <v>0.63504973817553256</v>
      </c>
      <c r="BR28" s="463">
        <f t="shared" si="65"/>
        <v>0.64113991261920478</v>
      </c>
      <c r="BS28" s="463">
        <f t="shared" si="65"/>
        <v>0.6142409740260949</v>
      </c>
      <c r="BT28" s="463">
        <f t="shared" si="65"/>
        <v>0.57256163670367755</v>
      </c>
      <c r="BU28" s="463">
        <f t="shared" si="65"/>
        <v>0.62210579216774675</v>
      </c>
      <c r="BV28" s="463">
        <f t="shared" si="65"/>
        <v>0.63292031107861269</v>
      </c>
      <c r="BW28" s="463">
        <f t="shared" si="65"/>
        <v>0.57445483669009356</v>
      </c>
      <c r="BX28" s="463">
        <f t="shared" si="65"/>
        <v>0.55403086341993601</v>
      </c>
      <c r="BY28" s="463">
        <f>-BY27/BY$11</f>
        <v>0.57473612460921963</v>
      </c>
      <c r="BZ28" s="463">
        <f>-BZ27/BZ$11</f>
        <v>0.56429278383285375</v>
      </c>
      <c r="CA28" s="464">
        <f t="shared" ref="CA28:CD28" si="66">-CA27/CA$11</f>
        <v>0.56772474209788171</v>
      </c>
      <c r="CB28" s="464">
        <f t="shared" si="66"/>
        <v>0.56981987548037516</v>
      </c>
      <c r="CC28" s="464">
        <f t="shared" si="66"/>
        <v>0.57192274075046301</v>
      </c>
      <c r="CD28" s="464">
        <f t="shared" si="66"/>
        <v>0.57403336644193037</v>
      </c>
    </row>
    <row r="29" spans="1:82" ht="17.25" customHeight="1">
      <c r="A29" s="423" t="s">
        <v>51</v>
      </c>
      <c r="B29" s="430"/>
      <c r="F29" s="431">
        <f t="shared" ref="F29:AO29" si="67">F27/B27-1</f>
        <v>0.1691375136346891</v>
      </c>
      <c r="G29" s="431">
        <f t="shared" si="67"/>
        <v>0.16625076019058116</v>
      </c>
      <c r="H29" s="431">
        <f t="shared" si="67"/>
        <v>0.13341815560722714</v>
      </c>
      <c r="I29" s="431">
        <f t="shared" si="67"/>
        <v>3.2187145243078641E-2</v>
      </c>
      <c r="J29" s="431">
        <f t="shared" si="67"/>
        <v>6.2279662125678481E-2</v>
      </c>
      <c r="K29" s="431">
        <f t="shared" si="67"/>
        <v>0.1000748000755598</v>
      </c>
      <c r="L29" s="431">
        <f t="shared" si="67"/>
        <v>9.8449763317554506E-2</v>
      </c>
      <c r="M29" s="431">
        <f t="shared" si="67"/>
        <v>0.15449954196252857</v>
      </c>
      <c r="N29" s="431">
        <f t="shared" si="67"/>
        <v>9.4917889401916922E-2</v>
      </c>
      <c r="O29" s="431">
        <f t="shared" si="67"/>
        <v>3.3217627018614859E-2</v>
      </c>
      <c r="P29" s="431">
        <f t="shared" si="67"/>
        <v>-3.9975605208365739E-2</v>
      </c>
      <c r="Q29" s="431">
        <f t="shared" si="67"/>
        <v>-6.6099148876942126E-2</v>
      </c>
      <c r="R29" s="431">
        <f t="shared" si="67"/>
        <v>-1.2986899563318777E-2</v>
      </c>
      <c r="S29" s="431">
        <f t="shared" si="67"/>
        <v>7.9459244726094003E-2</v>
      </c>
      <c r="T29" s="431">
        <f t="shared" si="67"/>
        <v>8.0493861129206978E-2</v>
      </c>
      <c r="U29" s="431">
        <f t="shared" si="67"/>
        <v>9.7381915254817208E-2</v>
      </c>
      <c r="V29" s="431">
        <f t="shared" si="67"/>
        <v>5.9534347131867893E-2</v>
      </c>
      <c r="W29" s="431">
        <f t="shared" si="67"/>
        <v>1.2221883370484354E-2</v>
      </c>
      <c r="X29" s="431">
        <f t="shared" si="67"/>
        <v>0.13090030245798601</v>
      </c>
      <c r="Y29" s="431">
        <f t="shared" si="67"/>
        <v>0.16739966400894857</v>
      </c>
      <c r="Z29" s="431">
        <f t="shared" si="67"/>
        <v>0.17026309768470393</v>
      </c>
      <c r="AA29" s="431">
        <f t="shared" si="67"/>
        <v>0.14286214804167985</v>
      </c>
      <c r="AB29" s="431">
        <f t="shared" si="67"/>
        <v>0.11022427539836221</v>
      </c>
      <c r="AC29" s="431">
        <f t="shared" si="67"/>
        <v>1.6919936679928416E-2</v>
      </c>
      <c r="AD29" s="431">
        <f t="shared" si="67"/>
        <v>1.9941034482844344E-3</v>
      </c>
      <c r="AE29" s="431">
        <f t="shared" si="67"/>
        <v>-2.7400206615893596E-2</v>
      </c>
      <c r="AF29" s="431">
        <f t="shared" si="67"/>
        <v>-0.11815187448938169</v>
      </c>
      <c r="AG29" s="431">
        <f t="shared" si="67"/>
        <v>-6.7103318591669292E-2</v>
      </c>
      <c r="AH29" s="431">
        <f t="shared" si="67"/>
        <v>-8.3106889535908168E-2</v>
      </c>
      <c r="AI29" s="431">
        <f t="shared" si="67"/>
        <v>-4.7103436061105342E-2</v>
      </c>
      <c r="AJ29" s="431">
        <f t="shared" si="67"/>
        <v>4.8928570673607785E-2</v>
      </c>
      <c r="AK29" s="431">
        <f t="shared" si="67"/>
        <v>5.887985225929504E-2</v>
      </c>
      <c r="AL29" s="431">
        <f t="shared" si="67"/>
        <v>7.8873167004023248E-2</v>
      </c>
      <c r="AM29" s="431">
        <f t="shared" si="67"/>
        <v>7.2618221440650554E-2</v>
      </c>
      <c r="AN29" s="431">
        <f t="shared" si="67"/>
        <v>3.6720650987957182E-2</v>
      </c>
      <c r="AO29" s="431">
        <f t="shared" si="67"/>
        <v>7.2707861652583361E-3</v>
      </c>
      <c r="AP29" s="459">
        <f t="shared" ref="AP29" si="68">AP27/AL27-1</f>
        <v>-2.9394479813960039E-3</v>
      </c>
      <c r="AQ29" s="459">
        <f t="shared" ref="AQ29" si="69">AQ27/AM27-1</f>
        <v>-6.6293933200803901E-3</v>
      </c>
      <c r="AR29" s="459">
        <f t="shared" ref="AR29" si="70">AR27/AN27-1</f>
        <v>1.85914628219781E-2</v>
      </c>
      <c r="AS29" s="459">
        <f t="shared" ref="AS29" si="71">AS27/AO27-1</f>
        <v>1.2467190395731853E-2</v>
      </c>
      <c r="AU29" s="459">
        <v>3.6172118126338582E-3</v>
      </c>
      <c r="AW29" s="438" t="e">
        <f t="shared" ref="AW29:BX29" si="72">AW27/AV27-1</f>
        <v>#DIV/0!</v>
      </c>
      <c r="AX29" s="438">
        <f t="shared" si="72"/>
        <v>0.15201077353850589</v>
      </c>
      <c r="AY29" s="438">
        <f t="shared" si="72"/>
        <v>7.9054484414505355E-2</v>
      </c>
      <c r="AZ29" s="438">
        <f t="shared" si="72"/>
        <v>0.17218796635888656</v>
      </c>
      <c r="BA29" s="438">
        <f t="shared" si="72"/>
        <v>-4.3685329077893353E-2</v>
      </c>
      <c r="BB29" s="438">
        <f t="shared" si="72"/>
        <v>4.4026466095368866E-2</v>
      </c>
      <c r="BC29" s="438">
        <f t="shared" si="72"/>
        <v>0.10781857486119417</v>
      </c>
      <c r="BD29" s="438">
        <f t="shared" si="72"/>
        <v>0.21640048952354118</v>
      </c>
      <c r="BE29" s="438">
        <f t="shared" si="72"/>
        <v>0.11991813203694002</v>
      </c>
      <c r="BF29" s="438">
        <f t="shared" si="72"/>
        <v>-0.16688901106579601</v>
      </c>
      <c r="BG29" s="438">
        <f t="shared" si="72"/>
        <v>0.12709054134517506</v>
      </c>
      <c r="BH29" s="438">
        <f t="shared" si="72"/>
        <v>8.9420932177742385E-2</v>
      </c>
      <c r="BI29" s="438">
        <f t="shared" si="72"/>
        <v>5.4606613174354113E-2</v>
      </c>
      <c r="BJ29" s="438">
        <f t="shared" si="72"/>
        <v>8.0813673542438957E-2</v>
      </c>
      <c r="BK29" s="438">
        <f t="shared" si="72"/>
        <v>8.7187962834239796E-2</v>
      </c>
      <c r="BL29" s="438">
        <f t="shared" si="72"/>
        <v>4.7535611991598392E-2</v>
      </c>
      <c r="BM29" s="438">
        <f t="shared" si="72"/>
        <v>-1.3048802539727067E-2</v>
      </c>
      <c r="BN29" s="438">
        <f t="shared" si="72"/>
        <v>3.2053963667105556E-2</v>
      </c>
      <c r="BO29" s="438">
        <f t="shared" si="72"/>
        <v>8.0528130609580195E-2</v>
      </c>
      <c r="BP29" s="438">
        <f t="shared" si="72"/>
        <v>0.11928876533343535</v>
      </c>
      <c r="BQ29" s="438">
        <f t="shared" si="72"/>
        <v>0.1829245321314128</v>
      </c>
      <c r="BR29" s="438">
        <f t="shared" si="72"/>
        <v>9.6768996348100655E-2</v>
      </c>
      <c r="BS29" s="438">
        <f t="shared" si="72"/>
        <v>1.5818644797209291E-2</v>
      </c>
      <c r="BT29" s="438">
        <f t="shared" si="72"/>
        <v>7.5722155191826346E-4</v>
      </c>
      <c r="BU29" s="438">
        <f t="shared" si="72"/>
        <v>9.0975840722122614E-2</v>
      </c>
      <c r="BV29" s="438">
        <f t="shared" si="72"/>
        <v>0.10765644102633765</v>
      </c>
      <c r="BW29" s="438">
        <f t="shared" si="72"/>
        <v>-5.2336150758248823E-2</v>
      </c>
      <c r="BX29" s="438">
        <f t="shared" si="72"/>
        <v>-8.8555488375455793E-3</v>
      </c>
      <c r="BY29" s="438">
        <f t="shared" ref="BY29:CD29" si="73">BY27/BX27-1</f>
        <v>4.8510450090533119E-2</v>
      </c>
      <c r="BZ29" s="438">
        <f t="shared" si="73"/>
        <v>5.1486388292281138E-3</v>
      </c>
      <c r="CA29" s="459">
        <f t="shared" si="73"/>
        <v>2.6203512663322215E-2</v>
      </c>
      <c r="CB29" s="459">
        <f t="shared" si="73"/>
        <v>2.3764211582969708E-2</v>
      </c>
      <c r="CC29" s="459">
        <f t="shared" si="73"/>
        <v>2.3764211582969708E-2</v>
      </c>
      <c r="CD29" s="459">
        <f t="shared" si="73"/>
        <v>2.3764211582969708E-2</v>
      </c>
    </row>
    <row r="30" spans="1:82" ht="17.25" customHeight="1">
      <c r="A30" s="423" t="s">
        <v>183</v>
      </c>
      <c r="B30" s="430"/>
      <c r="C30" s="431">
        <f t="shared" ref="C30:AO30" si="74">C27/B27-1</f>
        <v>1.6826849736151894E-2</v>
      </c>
      <c r="D30" s="431">
        <f t="shared" si="74"/>
        <v>-6.6997458647655161E-4</v>
      </c>
      <c r="E30" s="431">
        <f t="shared" si="74"/>
        <v>0.10072154683908385</v>
      </c>
      <c r="F30" s="431">
        <f t="shared" si="74"/>
        <v>4.5278905646581435E-2</v>
      </c>
      <c r="G30" s="431">
        <f t="shared" si="74"/>
        <v>1.4316171243412779E-2</v>
      </c>
      <c r="H30" s="431">
        <f t="shared" si="74"/>
        <v>-2.8803381819851981E-2</v>
      </c>
      <c r="I30" s="431">
        <f t="shared" si="74"/>
        <v>2.4108273884926312E-3</v>
      </c>
      <c r="J30" s="431">
        <f t="shared" si="74"/>
        <v>7.5753101396992095E-2</v>
      </c>
      <c r="K30" s="431">
        <f t="shared" si="74"/>
        <v>5.0404803063989423E-2</v>
      </c>
      <c r="L30" s="431">
        <f t="shared" si="74"/>
        <v>-3.0238038993786742E-2</v>
      </c>
      <c r="M30" s="431">
        <f t="shared" si="74"/>
        <v>5.3560098718625992E-2</v>
      </c>
      <c r="N30" s="431">
        <f t="shared" si="74"/>
        <v>2.023541152465036E-2</v>
      </c>
      <c r="O30" s="431">
        <f t="shared" si="74"/>
        <v>-8.7870802589971042E-3</v>
      </c>
      <c r="P30" s="431">
        <f t="shared" si="74"/>
        <v>-9.8936065973480369E-2</v>
      </c>
      <c r="Q30" s="431">
        <f t="shared" si="74"/>
        <v>2.4891323846171431E-2</v>
      </c>
      <c r="R30" s="431">
        <f t="shared" si="74"/>
        <v>7.8257628198210583E-2</v>
      </c>
      <c r="S30" s="431">
        <f t="shared" si="74"/>
        <v>8.4052429732679457E-2</v>
      </c>
      <c r="T30" s="431">
        <f t="shared" si="74"/>
        <v>-9.8072433992048902E-2</v>
      </c>
      <c r="U30" s="431">
        <f t="shared" si="74"/>
        <v>4.0910313655048158E-2</v>
      </c>
      <c r="V30" s="431">
        <f t="shared" si="74"/>
        <v>4.1069636971067691E-2</v>
      </c>
      <c r="W30" s="431">
        <f t="shared" si="74"/>
        <v>3.5645135116883608E-2</v>
      </c>
      <c r="X30" s="431">
        <f t="shared" si="74"/>
        <v>7.6744772571366582E-3</v>
      </c>
      <c r="Y30" s="431">
        <f t="shared" si="74"/>
        <v>7.4505283784285448E-2</v>
      </c>
      <c r="Z30" s="431">
        <f t="shared" si="74"/>
        <v>4.3623204484589451E-2</v>
      </c>
      <c r="AA30" s="431">
        <f t="shared" si="74"/>
        <v>1.1396177552106757E-2</v>
      </c>
      <c r="AB30" s="431">
        <f t="shared" si="74"/>
        <v>-2.110270405995851E-2</v>
      </c>
      <c r="AC30" s="431">
        <f t="shared" si="74"/>
        <v>-1.5797195790828056E-2</v>
      </c>
      <c r="AD30" s="431">
        <f t="shared" si="74"/>
        <v>2.8305434279722874E-2</v>
      </c>
      <c r="AE30" s="431">
        <f t="shared" si="74"/>
        <v>-1.8273949984951576E-2</v>
      </c>
      <c r="AF30" s="431">
        <f t="shared" si="74"/>
        <v>-0.11244198141504047</v>
      </c>
      <c r="AG30" s="431">
        <f t="shared" si="74"/>
        <v>4.1176483022930865E-2</v>
      </c>
      <c r="AH30" s="431">
        <f t="shared" si="74"/>
        <v>1.0665153959507068E-2</v>
      </c>
      <c r="AI30" s="431">
        <f t="shared" si="74"/>
        <v>2.0275285213062322E-2</v>
      </c>
      <c r="AJ30" s="431">
        <f t="shared" si="74"/>
        <v>-2.2994730953903253E-2</v>
      </c>
      <c r="AK30" s="431">
        <f t="shared" si="74"/>
        <v>5.1054219841847992E-2</v>
      </c>
      <c r="AL30" s="431">
        <f t="shared" si="74"/>
        <v>2.9748099471717637E-2</v>
      </c>
      <c r="AM30" s="431">
        <f t="shared" si="74"/>
        <v>1.4360070557771332E-2</v>
      </c>
      <c r="AN30" s="431">
        <f t="shared" si="74"/>
        <v>-5.5692399870182707E-2</v>
      </c>
      <c r="AO30" s="431">
        <f t="shared" si="74"/>
        <v>2.1197184905607402E-2</v>
      </c>
      <c r="AP30" s="432">
        <f t="shared" ref="AP30" si="75">AP27/AO27-1</f>
        <v>1.9310023283976685E-2</v>
      </c>
      <c r="AQ30" s="432">
        <f t="shared" ref="AQ30" si="76">AQ27/AP27-1</f>
        <v>1.0606102750575941E-2</v>
      </c>
      <c r="AR30" s="432">
        <f t="shared" ref="AR30" si="77">AR27/AQ27-1</f>
        <v>-3.1717212788368143E-2</v>
      </c>
      <c r="AS30" s="432">
        <f t="shared" ref="AS30" si="78">AS27/AR27-1</f>
        <v>1.5057245597701829E-2</v>
      </c>
      <c r="AU30" s="432">
        <v>1.7493096695179178E-2</v>
      </c>
      <c r="CA30" s="432"/>
      <c r="CB30" s="432"/>
      <c r="CC30" s="432"/>
      <c r="CD30" s="432"/>
    </row>
    <row r="31" spans="1:82" ht="17.25" customHeight="1">
      <c r="B31" s="430"/>
      <c r="C31" s="431"/>
      <c r="D31" s="431"/>
      <c r="E31" s="431"/>
      <c r="F31" s="431"/>
      <c r="G31" s="431"/>
      <c r="H31" s="431"/>
      <c r="I31" s="431"/>
      <c r="J31" s="431"/>
      <c r="K31" s="431"/>
      <c r="L31" s="431"/>
      <c r="M31" s="431"/>
      <c r="N31" s="431"/>
      <c r="O31" s="431"/>
      <c r="P31" s="431"/>
      <c r="Q31" s="431"/>
      <c r="R31" s="431"/>
      <c r="S31" s="431"/>
      <c r="T31" s="431"/>
      <c r="U31" s="431"/>
      <c r="V31" s="431"/>
      <c r="W31" s="431"/>
      <c r="X31" s="431"/>
      <c r="Y31" s="431"/>
      <c r="Z31" s="431"/>
      <c r="AA31" s="431"/>
      <c r="AB31" s="431"/>
      <c r="AC31" s="431"/>
      <c r="AD31" s="431"/>
      <c r="AE31" s="431"/>
      <c r="AF31" s="431"/>
      <c r="AG31" s="431"/>
      <c r="AH31" s="431"/>
      <c r="AI31" s="431"/>
      <c r="AJ31" s="431"/>
      <c r="AK31" s="431"/>
      <c r="AL31" s="431"/>
      <c r="AM31" s="431"/>
      <c r="AN31" s="431"/>
      <c r="AO31" s="431"/>
      <c r="AP31" s="432"/>
      <c r="AQ31" s="432"/>
      <c r="AR31" s="432"/>
      <c r="AS31" s="432"/>
      <c r="AU31" s="432"/>
      <c r="BP31" s="452"/>
      <c r="BQ31" s="452"/>
      <c r="BR31" s="452"/>
      <c r="BS31" s="452"/>
      <c r="BT31" s="452"/>
      <c r="BU31" s="452"/>
      <c r="BV31" s="452"/>
      <c r="BW31" s="452"/>
      <c r="BX31" s="452"/>
      <c r="BY31" s="452"/>
      <c r="BZ31" s="452"/>
      <c r="CA31" s="432"/>
      <c r="CB31" s="432"/>
      <c r="CC31" s="432"/>
      <c r="CD31" s="432"/>
    </row>
    <row r="32" spans="1:82" s="470" customFormat="1" ht="17.25" customHeight="1">
      <c r="A32" s="466" t="s">
        <v>195</v>
      </c>
      <c r="B32" s="467"/>
      <c r="C32" s="468"/>
      <c r="D32" s="468"/>
      <c r="E32" s="468"/>
      <c r="F32" s="468"/>
      <c r="G32" s="468"/>
      <c r="H32" s="468"/>
      <c r="I32" s="468"/>
      <c r="J32" s="468"/>
      <c r="K32" s="468"/>
      <c r="L32" s="468"/>
      <c r="M32" s="468"/>
      <c r="N32" s="468"/>
      <c r="O32" s="468"/>
      <c r="P32" s="468"/>
      <c r="Q32" s="468"/>
      <c r="R32" s="468"/>
      <c r="S32" s="468"/>
      <c r="T32" s="468"/>
      <c r="U32" s="468"/>
      <c r="V32" s="469">
        <f>+R27*(1+V36)</f>
        <v>-6627.536692541772</v>
      </c>
      <c r="W32" s="469">
        <f t="shared" ref="W32:AO32" si="79">+S27*(1+W36)</f>
        <v>-7055.4091879366679</v>
      </c>
      <c r="X32" s="469">
        <f t="shared" si="79"/>
        <v>-7057.9913912997363</v>
      </c>
      <c r="Y32" s="469">
        <f t="shared" si="79"/>
        <v>-7835.0164454837413</v>
      </c>
      <c r="Z32" s="469">
        <f t="shared" si="79"/>
        <v>-8199.3691466811124</v>
      </c>
      <c r="AA32" s="469">
        <f t="shared" si="79"/>
        <v>-8234.3431679876921</v>
      </c>
      <c r="AB32" s="469">
        <f t="shared" si="79"/>
        <v>-7780.2945155293737</v>
      </c>
      <c r="AC32" s="469">
        <f t="shared" si="79"/>
        <v>-8095.897256944746</v>
      </c>
      <c r="AD32" s="469">
        <f t="shared" si="79"/>
        <v>-8433.99989870235</v>
      </c>
      <c r="AE32" s="469">
        <f t="shared" si="79"/>
        <v>-8420.0734734486978</v>
      </c>
      <c r="AF32" s="469">
        <f t="shared" si="79"/>
        <v>-7683.9761103210558</v>
      </c>
      <c r="AG32" s="469">
        <f t="shared" si="79"/>
        <v>-7174.0648623826492</v>
      </c>
      <c r="AH32" s="469">
        <f t="shared" si="79"/>
        <v>-7514.9788823509261</v>
      </c>
      <c r="AI32" s="469">
        <f t="shared" si="79"/>
        <v>-7805.2089130696077</v>
      </c>
      <c r="AJ32" s="469">
        <f t="shared" si="79"/>
        <v>-7484.4361349358533</v>
      </c>
      <c r="AK32" s="469">
        <f t="shared" si="79"/>
        <v>-8443.7685005670246</v>
      </c>
      <c r="AL32" s="469">
        <f t="shared" si="79"/>
        <v>-8234.0850331735164</v>
      </c>
      <c r="AM32" s="469">
        <f t="shared" si="79"/>
        <v>-8031.9215070224218</v>
      </c>
      <c r="AN32" s="469">
        <f t="shared" si="79"/>
        <v>-7507.8600345354198</v>
      </c>
      <c r="AO32" s="469">
        <f t="shared" si="79"/>
        <v>-7844.5372865279815</v>
      </c>
      <c r="AP32" s="469">
        <f t="shared" ref="AP32:AS32" si="80">+AL27*(1+AP36)</f>
        <v>-7996.0154841828617</v>
      </c>
      <c r="AQ32" s="469">
        <f t="shared" si="80"/>
        <v>-8080.8220460033017</v>
      </c>
      <c r="AR32" s="469">
        <f t="shared" si="80"/>
        <v>-7824.520893665278</v>
      </c>
      <c r="AS32" s="469">
        <f t="shared" si="80"/>
        <v>-7942.3366264455453</v>
      </c>
      <c r="AU32" s="469">
        <v>-7883.209661787253</v>
      </c>
      <c r="BP32" s="471"/>
      <c r="BQ32" s="471"/>
      <c r="BR32" s="471"/>
      <c r="BS32" s="471"/>
      <c r="BT32" s="471"/>
      <c r="BU32" s="469">
        <f>+SUM(V32:Y32)</f>
        <v>-28575.953717261917</v>
      </c>
      <c r="BV32" s="450">
        <f>+SUMIFS($A32:$AO32,$A$1:$AO$1,"&lt;="&amp;BV$1,$A$1:$AO$1,"&gt;"&amp;BU$1)</f>
        <v>-32309.904087142924</v>
      </c>
      <c r="BW32" s="450">
        <f>+SUMIFS($A32:$AO32,$A$1:$AO$1,"&lt;="&amp;BW$1,$A$1:$AO$1,"&gt;"&amp;BV$1)</f>
        <v>-31712.114344854752</v>
      </c>
      <c r="BX32" s="450">
        <f>+SUMIFS($A32:$AO32,$A$1:$AO$1,"&lt;="&amp;BX$1,$A$1:$AO$1,"&gt;"&amp;BW$1)</f>
        <v>-31248.39243092341</v>
      </c>
      <c r="BY32" s="450">
        <f>+SUMIFS($A32:$AS32,$A$1:$AS$1,"&lt;="&amp;BY$1,$A$1:$AS$1,"&gt;"&amp;BX$1)</f>
        <v>-31618.403861259339</v>
      </c>
      <c r="BZ32" s="450">
        <f>+SUMIFS($A32:$AS32,$A$1:$AS$1,"&lt;="&amp;BZ$1,$A$1:$AS$1,"&gt;"&amp;BY$1)</f>
        <v>-31843.695050296985</v>
      </c>
      <c r="CA32" s="469">
        <f>+BZ27*(1+CA36)</f>
        <v>-32678.111716794414</v>
      </c>
      <c r="CB32" s="469">
        <f>+CA27*(1+CB36)</f>
        <v>-33454.681277764241</v>
      </c>
      <c r="CC32" s="469">
        <f>+CB27*(1+CC36)</f>
        <v>-34249.70540208985</v>
      </c>
      <c r="CD32" s="469">
        <f>+CC27*(1+CD36)</f>
        <v>-35063.622647919496</v>
      </c>
    </row>
    <row r="33" spans="1:82" ht="17.25" customHeight="1">
      <c r="A33" s="463" t="s">
        <v>193</v>
      </c>
      <c r="B33" s="430"/>
      <c r="C33" s="431"/>
      <c r="D33" s="431"/>
      <c r="E33" s="431"/>
      <c r="F33" s="431"/>
      <c r="G33" s="431"/>
      <c r="H33" s="431"/>
      <c r="I33" s="431"/>
      <c r="J33" s="431"/>
      <c r="K33" s="431"/>
      <c r="L33" s="431"/>
      <c r="M33" s="431"/>
      <c r="N33" s="431"/>
      <c r="O33" s="431"/>
      <c r="P33" s="431"/>
      <c r="Q33" s="431"/>
      <c r="R33" s="431"/>
      <c r="S33" s="431"/>
      <c r="T33" s="431"/>
      <c r="U33" s="431"/>
      <c r="V33" s="464">
        <f t="shared" ref="V33:AI33" si="81">-V32/V$11</f>
        <v>0.54732415445941163</v>
      </c>
      <c r="W33" s="464">
        <f t="shared" si="81"/>
        <v>0.60188346505214863</v>
      </c>
      <c r="X33" s="464">
        <f t="shared" si="81"/>
        <v>0.62220633960974414</v>
      </c>
      <c r="Y33" s="464">
        <f t="shared" si="81"/>
        <v>0.66855806156316666</v>
      </c>
      <c r="Z33" s="464">
        <f t="shared" si="81"/>
        <v>0.65208916388429394</v>
      </c>
      <c r="AA33" s="464">
        <f t="shared" si="81"/>
        <v>0.63857655693371418</v>
      </c>
      <c r="AB33" s="464">
        <f t="shared" si="81"/>
        <v>0.60812056554082961</v>
      </c>
      <c r="AC33" s="464">
        <f t="shared" si="81"/>
        <v>0.63288579627438057</v>
      </c>
      <c r="AD33" s="464">
        <f t="shared" si="81"/>
        <v>0.62248135646190494</v>
      </c>
      <c r="AE33" s="464">
        <f t="shared" si="81"/>
        <v>0.61397325852224616</v>
      </c>
      <c r="AF33" s="464">
        <f t="shared" si="81"/>
        <v>0.60634762957671429</v>
      </c>
      <c r="AG33" s="464">
        <f t="shared" si="81"/>
        <v>0.53652216838721267</v>
      </c>
      <c r="AH33" s="464">
        <f t="shared" si="81"/>
        <v>0.54497530144332396</v>
      </c>
      <c r="AI33" s="464">
        <f t="shared" si="81"/>
        <v>0.55482008196400401</v>
      </c>
      <c r="AJ33" s="464">
        <f t="shared" ref="AJ33" si="82">-AJ32/AJ$11</f>
        <v>0.56895805668327526</v>
      </c>
      <c r="AK33" s="464">
        <f t="shared" ref="AK33:AL33" si="83">-AK32/AK$11</f>
        <v>0.61317788372647974</v>
      </c>
      <c r="AL33" s="464">
        <f t="shared" si="83"/>
        <v>0.59524940599823006</v>
      </c>
      <c r="AM33" s="464">
        <f t="shared" ref="AM33:AN33" si="84">-AM32/AM$11</f>
        <v>0.57085440703784096</v>
      </c>
      <c r="AN33" s="464">
        <f t="shared" si="84"/>
        <v>0.55987024866035939</v>
      </c>
      <c r="AO33" s="464">
        <f t="shared" ref="AO33" si="85">-AO32/AO$11</f>
        <v>0.55801522418831606</v>
      </c>
      <c r="AP33" s="463">
        <f t="shared" ref="AP33:AS33" si="86">-AP32/AP$11</f>
        <v>0.56670504350798401</v>
      </c>
      <c r="AQ33" s="463">
        <f t="shared" si="86"/>
        <v>0.56032187813568413</v>
      </c>
      <c r="AR33" s="463">
        <f t="shared" si="86"/>
        <v>0.5692527159320695</v>
      </c>
      <c r="AS33" s="463">
        <f t="shared" si="86"/>
        <v>0.55119229876291609</v>
      </c>
      <c r="AU33" s="463">
        <v>0.56401051307863403</v>
      </c>
      <c r="BP33" s="452"/>
      <c r="BQ33" s="452"/>
      <c r="BR33" s="452"/>
      <c r="BS33" s="452"/>
      <c r="BT33" s="452"/>
      <c r="BU33" s="463">
        <f>-BU32/BU$11</f>
        <v>0.60937382744260538</v>
      </c>
      <c r="BV33" s="463">
        <f>-BV32/BV$11</f>
        <v>0.63284658819155537</v>
      </c>
      <c r="BW33" s="463">
        <f>-BW32/BW$11</f>
        <v>0.59489527117470697</v>
      </c>
      <c r="BX33" s="463">
        <f t="shared" ref="BX33:CD33" si="87">-BX32/BX$11</f>
        <v>0.57040603573793924</v>
      </c>
      <c r="BY33" s="463">
        <f>-BY32/BY$11</f>
        <v>0.57102897809999353</v>
      </c>
      <c r="BZ33" s="463">
        <f>-BZ32/BZ$11</f>
        <v>0.56175555323263948</v>
      </c>
      <c r="CA33" s="463">
        <f t="shared" si="87"/>
        <v>0.56517208037790445</v>
      </c>
      <c r="CB33" s="463">
        <f t="shared" si="87"/>
        <v>0.56725779340861981</v>
      </c>
      <c r="CC33" s="463">
        <f t="shared" si="87"/>
        <v>0.56935120356203028</v>
      </c>
      <c r="CD33" s="463">
        <f t="shared" si="87"/>
        <v>0.57145233924362426</v>
      </c>
    </row>
    <row r="34" spans="1:82" s="472" customFormat="1" ht="17.25" customHeight="1">
      <c r="A34" s="472" t="s">
        <v>196</v>
      </c>
      <c r="B34" s="473"/>
      <c r="C34" s="474"/>
      <c r="D34" s="474"/>
      <c r="E34" s="474"/>
      <c r="F34" s="474"/>
      <c r="G34" s="474"/>
      <c r="H34" s="474"/>
      <c r="I34" s="474"/>
      <c r="J34" s="474"/>
      <c r="K34" s="474"/>
      <c r="L34" s="474"/>
      <c r="M34" s="474"/>
      <c r="N34" s="474"/>
      <c r="O34" s="474"/>
      <c r="P34" s="474"/>
      <c r="Q34" s="474"/>
      <c r="R34" s="474"/>
      <c r="S34" s="474"/>
      <c r="T34" s="474"/>
      <c r="U34" s="474"/>
      <c r="V34" s="475">
        <f>+V27/V32-1</f>
        <v>4.7898687277803775E-2</v>
      </c>
      <c r="W34" s="475">
        <f t="shared" ref="W34:AI34" si="88">+W27/W32-1</f>
        <v>1.9436549803206526E-2</v>
      </c>
      <c r="X34" s="475">
        <f t="shared" si="88"/>
        <v>2.6884363862240468E-2</v>
      </c>
      <c r="Y34" s="475">
        <f t="shared" si="88"/>
        <v>-6.0345049449123112E-3</v>
      </c>
      <c r="Z34" s="475">
        <f t="shared" si="88"/>
        <v>-8.7698389223296314E-3</v>
      </c>
      <c r="AA34" s="475">
        <f t="shared" si="88"/>
        <v>-1.7316703587392235E-3</v>
      </c>
      <c r="AB34" s="475">
        <f t="shared" si="88"/>
        <v>3.4230514531172096E-2</v>
      </c>
      <c r="AC34" s="475">
        <f t="shared" si="88"/>
        <v>-2.1787981164587356E-2</v>
      </c>
      <c r="AD34" s="475">
        <f t="shared" si="88"/>
        <v>-3.44238679380372E-2</v>
      </c>
      <c r="AE34" s="475">
        <f t="shared" si="88"/>
        <v>-5.0500921968147039E-2</v>
      </c>
      <c r="AF34" s="475">
        <f t="shared" si="88"/>
        <v>-7.6533438141634713E-2</v>
      </c>
      <c r="AG34" s="475">
        <f t="shared" si="88"/>
        <v>2.9831642412314618E-2</v>
      </c>
      <c r="AH34" s="475">
        <f t="shared" si="88"/>
        <v>-6.4011999373545514E-3</v>
      </c>
      <c r="AI34" s="475">
        <f t="shared" si="88"/>
        <v>-2.3950917285068263E-2</v>
      </c>
      <c r="AJ34" s="475">
        <f t="shared" ref="AJ34:AO34" si="89">+AJ27/AJ32-1</f>
        <v>-5.5246827136172794E-3</v>
      </c>
      <c r="AK34" s="577">
        <f t="shared" si="89"/>
        <v>-7.3507522207097886E-2</v>
      </c>
      <c r="AL34" s="577">
        <f t="shared" si="89"/>
        <v>-2.1650861322816128E-2</v>
      </c>
      <c r="AM34" s="577">
        <f t="shared" si="89"/>
        <v>1.737697422161677E-2</v>
      </c>
      <c r="AN34" s="577">
        <f t="shared" si="89"/>
        <v>2.7776485510559334E-2</v>
      </c>
      <c r="AO34" s="577">
        <f t="shared" si="89"/>
        <v>4.5166097346320822E-3</v>
      </c>
      <c r="AP34" s="476">
        <f t="shared" ref="AP34:AS34" si="90">+AO34</f>
        <v>4.5166097346320822E-3</v>
      </c>
      <c r="AQ34" s="476">
        <f t="shared" si="90"/>
        <v>4.5166097346320822E-3</v>
      </c>
      <c r="AR34" s="476">
        <f t="shared" si="90"/>
        <v>4.5166097346320822E-3</v>
      </c>
      <c r="AS34" s="476">
        <f t="shared" si="90"/>
        <v>4.5166097346320822E-3</v>
      </c>
      <c r="AU34" s="477">
        <v>-4.0369211054527288E-3</v>
      </c>
      <c r="BP34" s="478"/>
      <c r="BQ34" s="478"/>
      <c r="BR34" s="478"/>
      <c r="BS34" s="478"/>
      <c r="BT34" s="478"/>
      <c r="BU34" s="477">
        <f t="shared" ref="BU34:BZ34" si="91">+BU27/BU32-1</f>
        <v>2.0893520777835795E-2</v>
      </c>
      <c r="BV34" s="477">
        <f t="shared" si="91"/>
        <v>1.1649408945713091E-4</v>
      </c>
      <c r="BW34" s="477">
        <f t="shared" si="91"/>
        <v>-3.4359719222932905E-2</v>
      </c>
      <c r="BX34" s="477">
        <f t="shared" si="91"/>
        <v>-2.8707922588544488E-2</v>
      </c>
      <c r="BY34" s="477">
        <f t="shared" si="91"/>
        <v>6.4920462032609372E-3</v>
      </c>
      <c r="BZ34" s="477">
        <f t="shared" si="91"/>
        <v>4.5166097346323042E-3</v>
      </c>
      <c r="CA34" s="476">
        <f>+BZ34</f>
        <v>4.5166097346323042E-3</v>
      </c>
      <c r="CB34" s="476">
        <f t="shared" ref="CB34:CD34" si="92">+CA34</f>
        <v>4.5166097346323042E-3</v>
      </c>
      <c r="CC34" s="476">
        <f t="shared" si="92"/>
        <v>4.5166097346323042E-3</v>
      </c>
      <c r="CD34" s="476">
        <f t="shared" si="92"/>
        <v>4.5166097346323042E-3</v>
      </c>
    </row>
    <row r="35" spans="1:82" ht="17.25" customHeight="1">
      <c r="B35" s="430"/>
      <c r="C35" s="431"/>
      <c r="D35" s="431"/>
      <c r="E35" s="431"/>
      <c r="F35" s="431"/>
      <c r="G35" s="431"/>
      <c r="H35" s="431"/>
      <c r="I35" s="431"/>
      <c r="J35" s="431"/>
      <c r="K35" s="431"/>
      <c r="L35" s="431"/>
      <c r="M35" s="431"/>
      <c r="N35" s="431"/>
      <c r="O35" s="431"/>
      <c r="P35" s="431"/>
      <c r="Q35" s="431"/>
      <c r="R35" s="431"/>
      <c r="S35" s="431"/>
      <c r="T35" s="431"/>
      <c r="U35" s="431"/>
      <c r="V35" s="464"/>
      <c r="W35" s="464"/>
      <c r="X35" s="464"/>
      <c r="Y35" s="464"/>
      <c r="Z35" s="464"/>
      <c r="AA35" s="464"/>
      <c r="AB35" s="464"/>
      <c r="AC35" s="464"/>
      <c r="AD35" s="464"/>
      <c r="AE35" s="464"/>
      <c r="AF35" s="464"/>
      <c r="AG35" s="464"/>
      <c r="AH35" s="464"/>
      <c r="AI35" s="464"/>
      <c r="AJ35" s="464"/>
      <c r="AK35" s="464"/>
      <c r="AL35" s="464"/>
      <c r="AM35" s="464"/>
      <c r="AN35" s="464"/>
      <c r="AO35" s="464"/>
      <c r="AP35" s="432"/>
      <c r="AQ35" s="432"/>
      <c r="AR35" s="432"/>
      <c r="AS35" s="432"/>
      <c r="AU35" s="432"/>
      <c r="BP35" s="452"/>
      <c r="BQ35" s="452"/>
      <c r="BR35" s="452"/>
      <c r="BS35" s="452"/>
      <c r="BT35" s="452"/>
      <c r="BU35" s="432"/>
      <c r="BV35" s="432"/>
      <c r="BW35" s="432"/>
      <c r="BX35" s="432"/>
      <c r="BY35" s="432"/>
      <c r="BZ35" s="432"/>
      <c r="CA35" s="432"/>
      <c r="CB35" s="432"/>
      <c r="CC35" s="432"/>
      <c r="CD35" s="432"/>
    </row>
    <row r="36" spans="1:82" ht="17.25" customHeight="1">
      <c r="A36" s="479" t="s">
        <v>197</v>
      </c>
      <c r="B36" s="430"/>
      <c r="C36" s="431"/>
      <c r="D36" s="431"/>
      <c r="E36" s="431"/>
      <c r="F36" s="431"/>
      <c r="G36" s="431"/>
      <c r="H36" s="431"/>
      <c r="I36" s="431"/>
      <c r="J36" s="431"/>
      <c r="K36" s="431"/>
      <c r="L36" s="431"/>
      <c r="M36" s="431"/>
      <c r="N36" s="431"/>
      <c r="O36" s="431"/>
      <c r="P36" s="431"/>
      <c r="Q36" s="431"/>
      <c r="R36" s="431"/>
      <c r="S36" s="431"/>
      <c r="T36" s="431"/>
      <c r="U36" s="431"/>
      <c r="V36" s="464">
        <f t="shared" ref="V36:AI36" si="93">+V37*V45+V38*V46+V39*V48+V40*V49+V41*V50</f>
        <v>1.1103802300097288E-2</v>
      </c>
      <c r="W36" s="464">
        <f t="shared" si="93"/>
        <v>-7.077111796820577E-3</v>
      </c>
      <c r="X36" s="464">
        <f t="shared" si="93"/>
        <v>0.10129274751494739</v>
      </c>
      <c r="Y36" s="464">
        <f t="shared" si="93"/>
        <v>0.17448711229583347</v>
      </c>
      <c r="Z36" s="464">
        <f t="shared" si="93"/>
        <v>0.18061691788351966</v>
      </c>
      <c r="AA36" s="464">
        <f t="shared" si="93"/>
        <v>0.14484464157285307</v>
      </c>
      <c r="AB36" s="464">
        <f t="shared" si="93"/>
        <v>7.347855221777011E-2</v>
      </c>
      <c r="AC36" s="464">
        <f t="shared" si="93"/>
        <v>3.9570069779553962E-2</v>
      </c>
      <c r="AD36" s="464">
        <f t="shared" si="93"/>
        <v>3.7716312755735011E-2</v>
      </c>
      <c r="AE36" s="464">
        <f t="shared" si="93"/>
        <v>2.4329371019650971E-2</v>
      </c>
      <c r="AF36" s="464">
        <f t="shared" si="93"/>
        <v>-4.5067615944853402E-2</v>
      </c>
      <c r="AG36" s="464">
        <f t="shared" si="93"/>
        <v>-9.4126998056614342E-2</v>
      </c>
      <c r="AH36" s="464">
        <f t="shared" si="93"/>
        <v>-7.7199861346166479E-2</v>
      </c>
      <c r="AI36" s="464">
        <f t="shared" si="93"/>
        <v>-2.372065010464134E-2</v>
      </c>
      <c r="AJ36" s="464">
        <f t="shared" ref="AJ36" si="94">+AJ37*AJ45+AJ38*AJ46+AJ39*AJ48+AJ40*AJ49+AJ41*AJ50</f>
        <v>5.4755761596789777E-2</v>
      </c>
      <c r="AK36" s="464">
        <f>+AK37*AK45+AK38*AK46+AK39*AK48+AK40*AK49+AK41*AK50</f>
        <v>0.14289093288891805</v>
      </c>
      <c r="AL36" s="464">
        <f t="shared" ref="AL36:AM36" si="95">+AL37*AL45+AL38*AL46+AL39*AL48+AL40*AL49+AL41*AL50</f>
        <v>0.10274862454803917</v>
      </c>
      <c r="AM36" s="464">
        <f t="shared" si="95"/>
        <v>5.4297717187179476E-2</v>
      </c>
      <c r="AN36" s="464">
        <f t="shared" ref="AN36:AO36" si="96">+AN37*AN45+AN38*AN46+AN39*AN48+AN40*AN49+AN41*AN50</f>
        <v>8.7024422172439862E-3</v>
      </c>
      <c r="AO36" s="464">
        <f t="shared" si="96"/>
        <v>2.741792822473884E-3</v>
      </c>
      <c r="AP36" s="463">
        <f t="shared" ref="AP36:AS36" si="97">+AP37*AP45+AP38*AP46+AP39*AP48+AP40*AP49+AP41*AP50</f>
        <v>-7.4225330310841459E-3</v>
      </c>
      <c r="AQ36" s="463">
        <f t="shared" si="97"/>
        <v>-1.1095887262289316E-2</v>
      </c>
      <c r="AR36" s="463">
        <f t="shared" si="97"/>
        <v>1.4011568301557835E-2</v>
      </c>
      <c r="AS36" s="463">
        <f t="shared" si="97"/>
        <v>7.9148324518002432E-3</v>
      </c>
      <c r="AU36" s="463">
        <v>7.6851572917563706E-3</v>
      </c>
      <c r="BP36" s="452"/>
      <c r="BQ36" s="452"/>
      <c r="BR36" s="452"/>
      <c r="BS36" s="452"/>
      <c r="BT36" s="452"/>
      <c r="BU36" s="463">
        <f t="shared" ref="BU36:CD36" si="98">+BU37*BU45+BU38*BU46+BU39*BU48+BU40*BU49+BU41*BU50</f>
        <v>0.15045747637100329</v>
      </c>
      <c r="BV36" s="463">
        <f t="shared" si="98"/>
        <v>7.6459266501933493E-2</v>
      </c>
      <c r="BW36" s="463">
        <f t="shared" si="98"/>
        <v>-4.8168059958284368E-2</v>
      </c>
      <c r="BX36" s="463">
        <f t="shared" si="98"/>
        <v>2.3327686869227315E-2</v>
      </c>
      <c r="BY36" s="463">
        <f>+BY37*BY45+BY38*BY46+BY39*BY48+BY40*BY49+BY41*BY50</f>
        <v>3.6960618123285265E-2</v>
      </c>
      <c r="BZ36" s="463">
        <f>+BZ37*BZ45+BZ38*BZ46+BZ39*BZ48+BZ40*BZ49+BZ41*BZ50</f>
        <v>4.4600868667775233E-4</v>
      </c>
      <c r="CA36" s="463">
        <f t="shared" si="98"/>
        <v>2.1589392070300431E-2</v>
      </c>
      <c r="CB36" s="463">
        <f t="shared" si="98"/>
        <v>1.9161058823529267E-2</v>
      </c>
      <c r="CC36" s="463">
        <f t="shared" si="98"/>
        <v>1.9161058823529267E-2</v>
      </c>
      <c r="CD36" s="463">
        <f t="shared" si="98"/>
        <v>1.9161058823529323E-2</v>
      </c>
    </row>
    <row r="37" spans="1:82" ht="17.25" customHeight="1">
      <c r="A37" s="423" t="s">
        <v>198</v>
      </c>
      <c r="B37" s="430"/>
      <c r="C37" s="431"/>
      <c r="D37" s="431"/>
      <c r="E37" s="431"/>
      <c r="F37" s="431"/>
      <c r="G37" s="431"/>
      <c r="H37" s="431"/>
      <c r="I37" s="431"/>
      <c r="J37" s="431"/>
      <c r="K37" s="431"/>
      <c r="L37" s="431"/>
      <c r="M37" s="431"/>
      <c r="N37" s="431"/>
      <c r="O37" s="431"/>
      <c r="P37" s="431"/>
      <c r="Q37" s="431"/>
      <c r="R37" s="431"/>
      <c r="S37" s="431"/>
      <c r="T37" s="431"/>
      <c r="U37" s="431"/>
      <c r="V37" s="431">
        <f t="shared" ref="V37:AI37" si="99">+(1+V18)*(1+V57)-1</f>
        <v>-2.4537678925967588E-2</v>
      </c>
      <c r="W37" s="431">
        <f t="shared" si="99"/>
        <v>-0.10628900507636818</v>
      </c>
      <c r="X37" s="431">
        <f t="shared" si="99"/>
        <v>0.32205064811337381</v>
      </c>
      <c r="Y37" s="431">
        <f t="shared" si="99"/>
        <v>0.6187585165810241</v>
      </c>
      <c r="Z37" s="431">
        <f t="shared" si="99"/>
        <v>0.63908790545137517</v>
      </c>
      <c r="AA37" s="431">
        <f t="shared" si="99"/>
        <v>0.48121233274348296</v>
      </c>
      <c r="AB37" s="431">
        <f t="shared" si="99"/>
        <v>0.18290475805580075</v>
      </c>
      <c r="AC37" s="431">
        <f t="shared" si="99"/>
        <v>5.9748786161924139E-2</v>
      </c>
      <c r="AD37" s="431">
        <f t="shared" si="99"/>
        <v>5.7243569784492632E-2</v>
      </c>
      <c r="AE37" s="431">
        <f t="shared" si="99"/>
        <v>1.9564446590378815E-2</v>
      </c>
      <c r="AF37" s="431">
        <f t="shared" si="99"/>
        <v>-0.25854138021243345</v>
      </c>
      <c r="AG37" s="431">
        <f t="shared" si="99"/>
        <v>-0.46359766587220919</v>
      </c>
      <c r="AH37" s="431">
        <f t="shared" si="99"/>
        <v>-0.39743683254188977</v>
      </c>
      <c r="AI37" s="431">
        <f t="shared" si="99"/>
        <v>-0.18386982416495357</v>
      </c>
      <c r="AJ37" s="431">
        <f t="shared" ref="AJ37" si="100">+(1+AJ18)*(1+AJ57)-1</f>
        <v>0.14553439450040617</v>
      </c>
      <c r="AK37" s="431">
        <f>+(1+AK18)*(1+AK57)-1</f>
        <v>0.52343635847519066</v>
      </c>
      <c r="AL37" s="431">
        <f>+(1+AL18)*(1+AL57)-1</f>
        <v>0.369264964446129</v>
      </c>
      <c r="AM37" s="431">
        <f>+(1+AM18)*(1+AM57)-1</f>
        <v>0.16575826024597529</v>
      </c>
      <c r="AN37" s="431">
        <f>+(1+AN18)*(1+AN57)-1</f>
        <v>-3.0561703381510652E-2</v>
      </c>
      <c r="AO37" s="431">
        <f>+(1+AO18)*(1+AO57)-1</f>
        <v>-5.3564663448464778E-2</v>
      </c>
      <c r="AP37" s="438">
        <f t="shared" ref="AP37:AS37" si="101">+(1+AP18)*(1+AP57)-1</f>
        <v>-9.0985554296184157E-2</v>
      </c>
      <c r="AQ37" s="438">
        <f>+(1+AQ18)*(1+AQ57)-1</f>
        <v>-0.10801619692620501</v>
      </c>
      <c r="AR37" s="438">
        <f t="shared" si="101"/>
        <v>-3.4017987435085439E-3</v>
      </c>
      <c r="AS37" s="438">
        <f t="shared" si="101"/>
        <v>-2.8804864784165551E-2</v>
      </c>
      <c r="AU37" s="438">
        <v>-2.9510913355645152E-2</v>
      </c>
      <c r="BP37" s="452"/>
      <c r="BQ37" s="452"/>
      <c r="BR37" s="452"/>
      <c r="BS37" s="452"/>
      <c r="BT37" s="452"/>
      <c r="BU37" s="438">
        <f t="shared" ref="BU37:CD37" si="102">+(1+BU18)*(1+BU57)-1</f>
        <v>0.51076232564510482</v>
      </c>
      <c r="BV37" s="438">
        <f t="shared" si="102"/>
        <v>0.20482841021104048</v>
      </c>
      <c r="BW37" s="438">
        <f t="shared" si="102"/>
        <v>-0.27184043823839876</v>
      </c>
      <c r="BX37" s="438">
        <f t="shared" si="102"/>
        <v>2.581196586980905E-2</v>
      </c>
      <c r="BY37" s="438">
        <f>+(1+BY18)*(1+BY57)-1</f>
        <v>9.3783604734632764E-2</v>
      </c>
      <c r="BZ37" s="438">
        <f>+(1+BZ18)*(1+BZ57)-1</f>
        <v>-5.9579963805509228E-2</v>
      </c>
      <c r="CA37" s="438">
        <f t="shared" si="102"/>
        <v>2.9897466959585284E-2</v>
      </c>
      <c r="CB37" s="438">
        <f t="shared" si="102"/>
        <v>1.9779411764705435E-2</v>
      </c>
      <c r="CC37" s="438">
        <f t="shared" si="102"/>
        <v>1.9779411764705435E-2</v>
      </c>
      <c r="CD37" s="438">
        <f t="shared" si="102"/>
        <v>1.9779411764705657E-2</v>
      </c>
    </row>
    <row r="38" spans="1:82" ht="17.25" customHeight="1">
      <c r="A38" s="423" t="s">
        <v>199</v>
      </c>
      <c r="B38" s="431"/>
      <c r="C38" s="431"/>
      <c r="D38" s="431"/>
      <c r="E38" s="431"/>
      <c r="F38" s="431"/>
      <c r="G38" s="431"/>
      <c r="H38" s="431"/>
      <c r="I38" s="431"/>
      <c r="J38" s="431"/>
      <c r="K38" s="431"/>
      <c r="L38" s="431"/>
      <c r="M38" s="431"/>
      <c r="N38" s="431"/>
      <c r="O38" s="431"/>
      <c r="P38" s="431"/>
      <c r="Q38" s="431"/>
      <c r="R38" s="431"/>
      <c r="S38" s="431"/>
      <c r="T38" s="431"/>
      <c r="U38" s="431"/>
      <c r="V38" s="431"/>
      <c r="W38" s="431"/>
      <c r="X38" s="431"/>
      <c r="Y38" s="431"/>
      <c r="Z38" s="431"/>
      <c r="AA38" s="431"/>
      <c r="AB38" s="431"/>
      <c r="AC38" s="431"/>
      <c r="AD38" s="431"/>
      <c r="AE38" s="431"/>
      <c r="AF38" s="431"/>
      <c r="AG38" s="431"/>
      <c r="AH38" s="431"/>
      <c r="AI38" s="431"/>
      <c r="AJ38" s="431"/>
      <c r="AK38" s="431"/>
      <c r="AL38" s="431"/>
      <c r="AM38" s="431"/>
      <c r="AN38" s="431"/>
      <c r="AO38" s="431"/>
      <c r="AP38" s="431"/>
      <c r="AQ38" s="431"/>
      <c r="AR38" s="431"/>
      <c r="AS38" s="431"/>
      <c r="AU38" s="438"/>
      <c r="BP38" s="452"/>
      <c r="BQ38" s="452"/>
      <c r="BR38" s="452"/>
      <c r="BS38" s="452"/>
      <c r="BT38" s="452"/>
      <c r="BU38" s="438"/>
      <c r="BV38" s="438"/>
      <c r="BW38" s="438"/>
      <c r="BX38" s="438"/>
      <c r="BY38" s="438"/>
      <c r="BZ38" s="438"/>
      <c r="CA38" s="438"/>
      <c r="CB38" s="438"/>
      <c r="CC38" s="438"/>
      <c r="CD38" s="438"/>
    </row>
    <row r="39" spans="1:82" ht="17.25" customHeight="1">
      <c r="A39" s="423" t="s">
        <v>200</v>
      </c>
      <c r="B39" s="430"/>
      <c r="C39" s="431"/>
      <c r="D39" s="431"/>
      <c r="E39" s="431"/>
      <c r="F39" s="431"/>
      <c r="G39" s="431"/>
      <c r="H39" s="431"/>
      <c r="I39" s="431"/>
      <c r="J39" s="431"/>
      <c r="K39" s="431"/>
      <c r="L39" s="431"/>
      <c r="M39" s="431"/>
      <c r="N39" s="431"/>
      <c r="O39" s="431"/>
      <c r="P39" s="431"/>
      <c r="Q39" s="431"/>
      <c r="R39" s="431"/>
      <c r="S39" s="431"/>
      <c r="T39" s="431"/>
      <c r="U39" s="431"/>
      <c r="V39" s="431">
        <f t="shared" ref="V39:AI39" si="103">+(1+V18)*(1+V6)-1</f>
        <v>2.5735412493681942E-2</v>
      </c>
      <c r="W39" s="431">
        <f t="shared" si="103"/>
        <v>-4.7411071451991527E-3</v>
      </c>
      <c r="X39" s="431">
        <f t="shared" si="103"/>
        <v>6.0001479919344236E-2</v>
      </c>
      <c r="Y39" s="431">
        <f t="shared" si="103"/>
        <v>3.0609036249324983E-2</v>
      </c>
      <c r="Z39" s="431">
        <f t="shared" si="103"/>
        <v>4.2300668908284544E-2</v>
      </c>
      <c r="AA39" s="431">
        <f t="shared" si="103"/>
        <v>4.74674830557964E-2</v>
      </c>
      <c r="AB39" s="431">
        <f t="shared" si="103"/>
        <v>2.1777645919319966E-2</v>
      </c>
      <c r="AC39" s="431">
        <f t="shared" si="103"/>
        <v>2.6983666928086514E-3</v>
      </c>
      <c r="AD39" s="431">
        <f t="shared" si="103"/>
        <v>2.5752877437395405E-2</v>
      </c>
      <c r="AE39" s="431">
        <f t="shared" si="103"/>
        <v>4.3201648585755814E-2</v>
      </c>
      <c r="AF39" s="431">
        <f t="shared" si="103"/>
        <v>3.409942924115561E-2</v>
      </c>
      <c r="AG39" s="431">
        <f t="shared" si="103"/>
        <v>2.7769936273501994E-2</v>
      </c>
      <c r="AH39" s="431">
        <f t="shared" si="103"/>
        <v>5.04746512551697E-2</v>
      </c>
      <c r="AI39" s="431">
        <f t="shared" si="103"/>
        <v>5.6059119908902222E-2</v>
      </c>
      <c r="AJ39" s="431">
        <f t="shared" ref="AJ39:AK39" si="104">+(1+AJ18)*(1+AJ6)-1</f>
        <v>6.4628343067937299E-2</v>
      </c>
      <c r="AK39" s="431">
        <f t="shared" si="104"/>
        <v>4.7334010712154484E-2</v>
      </c>
      <c r="AL39" s="431">
        <f t="shared" ref="AL39:AM39" si="105">+(1+AL18)*(1+AL6)-1</f>
        <v>2.4517264013724782E-2</v>
      </c>
      <c r="AM39" s="431">
        <f t="shared" si="105"/>
        <v>8.7495356405189462E-3</v>
      </c>
      <c r="AN39" s="431">
        <f t="shared" ref="AN39:AO39" si="106">+(1+AN18)*(1+AN6)-1</f>
        <v>5.0054115226337403E-2</v>
      </c>
      <c r="AO39" s="431">
        <f t="shared" si="106"/>
        <v>4.7288635655205802E-2</v>
      </c>
      <c r="AP39" s="438">
        <f t="shared" ref="AP39:AS39" si="107">+(1+AP18)*(1+AP6)-1</f>
        <v>4.0175000000000072E-2</v>
      </c>
      <c r="AQ39" s="438">
        <f t="shared" si="107"/>
        <v>4.5349999999999779E-2</v>
      </c>
      <c r="AR39" s="438">
        <f t="shared" si="107"/>
        <v>4.5349999999999779E-2</v>
      </c>
      <c r="AS39" s="438">
        <f t="shared" si="107"/>
        <v>4.5350000000000001E-2</v>
      </c>
      <c r="AU39" s="438">
        <v>3.6919441242778017E-2</v>
      </c>
      <c r="BP39" s="452"/>
      <c r="BQ39" s="452"/>
      <c r="BR39" s="452"/>
      <c r="BS39" s="452"/>
      <c r="BT39" s="452"/>
      <c r="BU39" s="438">
        <f t="shared" ref="BU39:CD39" si="108">+(1+BU18)*(1+BU6)-1</f>
        <v>5.4227159996705465E-2</v>
      </c>
      <c r="BV39" s="438">
        <f t="shared" si="108"/>
        <v>2.8574453575203718E-2</v>
      </c>
      <c r="BW39" s="438">
        <f t="shared" si="108"/>
        <v>2.6984979601195391E-2</v>
      </c>
      <c r="BX39" s="438">
        <f t="shared" si="108"/>
        <v>4.5666613282165036E-2</v>
      </c>
      <c r="BY39" s="438">
        <f>+(1+BY18)*(1+BY6)-1</f>
        <v>3.297914736605545E-2</v>
      </c>
      <c r="BZ39" s="438">
        <f>+(1+BZ18)*(1+BZ6)-1</f>
        <v>4.4314999999999882E-2</v>
      </c>
      <c r="CA39" s="438">
        <f t="shared" si="108"/>
        <v>4.017499999999985E-2</v>
      </c>
      <c r="CB39" s="438">
        <f t="shared" si="108"/>
        <v>4.017499999999985E-2</v>
      </c>
      <c r="CC39" s="438">
        <f t="shared" si="108"/>
        <v>4.017499999999985E-2</v>
      </c>
      <c r="CD39" s="438">
        <f t="shared" si="108"/>
        <v>4.017499999999985E-2</v>
      </c>
    </row>
    <row r="40" spans="1:82" ht="17.25" customHeight="1">
      <c r="A40" s="423" t="s">
        <v>201</v>
      </c>
      <c r="B40" s="430"/>
      <c r="C40" s="431"/>
      <c r="D40" s="431"/>
      <c r="E40" s="431"/>
      <c r="F40" s="431"/>
      <c r="G40" s="431"/>
      <c r="H40" s="431"/>
      <c r="I40" s="431"/>
      <c r="J40" s="431"/>
      <c r="K40" s="431"/>
      <c r="L40" s="431"/>
      <c r="M40" s="431"/>
      <c r="N40" s="431"/>
      <c r="O40" s="431"/>
      <c r="P40" s="431"/>
      <c r="Q40" s="431"/>
      <c r="R40" s="431"/>
      <c r="S40" s="431"/>
      <c r="T40" s="431"/>
      <c r="U40" s="431"/>
      <c r="V40" s="431">
        <f t="shared" ref="V40:AK40" si="109">+V6</f>
        <v>4.6668788258859228E-2</v>
      </c>
      <c r="W40" s="431">
        <f t="shared" si="109"/>
        <v>5.8786056228511629E-2</v>
      </c>
      <c r="X40" s="431">
        <f t="shared" si="109"/>
        <v>6.0001479919344236E-2</v>
      </c>
      <c r="Y40" s="431">
        <f t="shared" si="109"/>
        <v>7.3551079426380284E-2</v>
      </c>
      <c r="Z40" s="431">
        <f t="shared" si="109"/>
        <v>7.453677207039644E-2</v>
      </c>
      <c r="AA40" s="431">
        <f t="shared" si="109"/>
        <v>7.9863384593604536E-2</v>
      </c>
      <c r="AB40" s="431">
        <f t="shared" si="109"/>
        <v>8.6997495658851065E-2</v>
      </c>
      <c r="AC40" s="431">
        <f t="shared" si="109"/>
        <v>7.8170286766460872E-2</v>
      </c>
      <c r="AD40" s="431">
        <f t="shared" si="109"/>
        <v>6.8492580663953584E-2</v>
      </c>
      <c r="AE40" s="431">
        <f t="shared" si="109"/>
        <v>5.0555537347186208E-2</v>
      </c>
      <c r="AF40" s="431">
        <f t="shared" si="109"/>
        <v>4.4544878021369305E-2</v>
      </c>
      <c r="AG40" s="431">
        <f t="shared" si="109"/>
        <v>4.6608896408861566E-2</v>
      </c>
      <c r="AH40" s="431">
        <f t="shared" si="109"/>
        <v>4.4209394885854625E-2</v>
      </c>
      <c r="AI40" s="431">
        <f t="shared" si="109"/>
        <v>4.9760556569485415E-2</v>
      </c>
      <c r="AJ40" s="431">
        <f>+AJ6</f>
        <v>4.5803873347679103E-2</v>
      </c>
      <c r="AK40" s="431">
        <f t="shared" si="109"/>
        <v>4.2123393743437321E-2</v>
      </c>
      <c r="AL40" s="431">
        <f t="shared" ref="AL40:AM40" si="110">+AL6</f>
        <v>3.8011412374594489E-2</v>
      </c>
      <c r="AM40" s="431">
        <f t="shared" si="110"/>
        <v>4.3174287115324672E-2</v>
      </c>
      <c r="AN40" s="431">
        <f t="shared" ref="AN40:AO40" si="111">+AN6</f>
        <v>3.7602880658436089E-2</v>
      </c>
      <c r="AO40" s="431">
        <f t="shared" si="111"/>
        <v>3.6919441242778017E-2</v>
      </c>
      <c r="AP40" s="438">
        <f t="shared" ref="AP40:AS40" si="112">+AP6</f>
        <v>3.5000000000000142E-2</v>
      </c>
      <c r="AQ40" s="438">
        <f t="shared" si="112"/>
        <v>3.4999999999999698E-2</v>
      </c>
      <c r="AR40" s="438">
        <f t="shared" si="112"/>
        <v>3.4999999999999698E-2</v>
      </c>
      <c r="AS40" s="438">
        <f t="shared" si="112"/>
        <v>3.499999999999992E-2</v>
      </c>
      <c r="AU40" s="438">
        <v>3.6919441242778017E-2</v>
      </c>
      <c r="BP40" s="452"/>
      <c r="BQ40" s="452"/>
      <c r="BR40" s="452"/>
      <c r="BS40" s="452"/>
      <c r="BT40" s="452"/>
      <c r="BU40" s="438">
        <f t="shared" ref="BU40:CD40" si="113">+BU6</f>
        <v>7.3551079426380284E-2</v>
      </c>
      <c r="BV40" s="438">
        <f t="shared" si="113"/>
        <v>7.8170286766460872E-2</v>
      </c>
      <c r="BW40" s="438">
        <f t="shared" si="113"/>
        <v>4.6608896408861566E-2</v>
      </c>
      <c r="BX40" s="438">
        <f t="shared" si="113"/>
        <v>4.2123393743437321E-2</v>
      </c>
      <c r="BY40" s="438">
        <f>+BY6</f>
        <v>3.6919441242778017E-2</v>
      </c>
      <c r="BZ40" s="438">
        <f>+BZ6</f>
        <v>3.499999999999992E-2</v>
      </c>
      <c r="CA40" s="438">
        <f t="shared" si="113"/>
        <v>3.499999999999992E-2</v>
      </c>
      <c r="CB40" s="438">
        <f t="shared" si="113"/>
        <v>3.499999999999992E-2</v>
      </c>
      <c r="CC40" s="438">
        <f t="shared" si="113"/>
        <v>3.499999999999992E-2</v>
      </c>
      <c r="CD40" s="438">
        <f t="shared" si="113"/>
        <v>3.499999999999992E-2</v>
      </c>
    </row>
    <row r="41" spans="1:82" ht="17.25" customHeight="1">
      <c r="A41" s="423" t="s">
        <v>202</v>
      </c>
      <c r="B41" s="430"/>
      <c r="C41" s="431"/>
      <c r="D41" s="431"/>
      <c r="E41" s="431"/>
      <c r="F41" s="431"/>
      <c r="G41" s="431"/>
      <c r="H41" s="431"/>
      <c r="I41" s="431"/>
      <c r="J41" s="431"/>
      <c r="K41" s="431"/>
      <c r="L41" s="431"/>
      <c r="M41" s="431"/>
      <c r="N41" s="431"/>
      <c r="O41" s="431"/>
      <c r="P41" s="431"/>
      <c r="Q41" s="431"/>
      <c r="R41" s="431"/>
      <c r="S41" s="431"/>
      <c r="T41" s="431"/>
      <c r="U41" s="431"/>
      <c r="V41" s="431">
        <f t="shared" ref="V41:AK41" si="114">+V6</f>
        <v>4.6668788258859228E-2</v>
      </c>
      <c r="W41" s="431">
        <f t="shared" si="114"/>
        <v>5.8786056228511629E-2</v>
      </c>
      <c r="X41" s="431">
        <f t="shared" si="114"/>
        <v>6.0001479919344236E-2</v>
      </c>
      <c r="Y41" s="431">
        <f t="shared" si="114"/>
        <v>7.3551079426380284E-2</v>
      </c>
      <c r="Z41" s="431">
        <f t="shared" si="114"/>
        <v>7.453677207039644E-2</v>
      </c>
      <c r="AA41" s="431">
        <f t="shared" si="114"/>
        <v>7.9863384593604536E-2</v>
      </c>
      <c r="AB41" s="431">
        <f t="shared" si="114"/>
        <v>8.6997495658851065E-2</v>
      </c>
      <c r="AC41" s="431">
        <f t="shared" si="114"/>
        <v>7.8170286766460872E-2</v>
      </c>
      <c r="AD41" s="431">
        <f t="shared" si="114"/>
        <v>6.8492580663953584E-2</v>
      </c>
      <c r="AE41" s="431">
        <f t="shared" si="114"/>
        <v>5.0555537347186208E-2</v>
      </c>
      <c r="AF41" s="431">
        <f t="shared" si="114"/>
        <v>4.4544878021369305E-2</v>
      </c>
      <c r="AG41" s="431">
        <f t="shared" si="114"/>
        <v>4.6608896408861566E-2</v>
      </c>
      <c r="AH41" s="431">
        <f t="shared" si="114"/>
        <v>4.4209394885854625E-2</v>
      </c>
      <c r="AI41" s="431">
        <f t="shared" si="114"/>
        <v>4.9760556569485415E-2</v>
      </c>
      <c r="AJ41" s="431">
        <f>+AJ6</f>
        <v>4.5803873347679103E-2</v>
      </c>
      <c r="AK41" s="431">
        <f t="shared" si="114"/>
        <v>4.2123393743437321E-2</v>
      </c>
      <c r="AL41" s="431">
        <f t="shared" ref="AL41:AM41" si="115">+AL6</f>
        <v>3.8011412374594489E-2</v>
      </c>
      <c r="AM41" s="431">
        <f t="shared" si="115"/>
        <v>4.3174287115324672E-2</v>
      </c>
      <c r="AN41" s="431">
        <f t="shared" ref="AN41" si="116">+AN6</f>
        <v>3.7602880658436089E-2</v>
      </c>
      <c r="AO41" s="431">
        <f>+AO6</f>
        <v>3.6919441242778017E-2</v>
      </c>
      <c r="AP41" s="438">
        <f t="shared" ref="AP41:AS41" si="117">+AP6</f>
        <v>3.5000000000000142E-2</v>
      </c>
      <c r="AQ41" s="438">
        <f t="shared" si="117"/>
        <v>3.4999999999999698E-2</v>
      </c>
      <c r="AR41" s="438">
        <f t="shared" si="117"/>
        <v>3.4999999999999698E-2</v>
      </c>
      <c r="AS41" s="438">
        <f t="shared" si="117"/>
        <v>3.499999999999992E-2</v>
      </c>
      <c r="AU41" s="438">
        <v>3.6919441242778017E-2</v>
      </c>
      <c r="BP41" s="452"/>
      <c r="BQ41" s="452"/>
      <c r="BR41" s="452"/>
      <c r="BS41" s="452"/>
      <c r="BT41" s="452"/>
      <c r="BU41" s="438">
        <f t="shared" ref="BU41:CD41" si="118">+BU6</f>
        <v>7.3551079426380284E-2</v>
      </c>
      <c r="BV41" s="438">
        <f t="shared" si="118"/>
        <v>7.8170286766460872E-2</v>
      </c>
      <c r="BW41" s="438">
        <f t="shared" si="118"/>
        <v>4.6608896408861566E-2</v>
      </c>
      <c r="BX41" s="438">
        <f t="shared" si="118"/>
        <v>4.2123393743437321E-2</v>
      </c>
      <c r="BY41" s="438">
        <f>+BY6</f>
        <v>3.6919441242778017E-2</v>
      </c>
      <c r="BZ41" s="438">
        <f>+BZ6</f>
        <v>3.499999999999992E-2</v>
      </c>
      <c r="CA41" s="438">
        <f t="shared" si="118"/>
        <v>3.499999999999992E-2</v>
      </c>
      <c r="CB41" s="438">
        <f t="shared" si="118"/>
        <v>3.499999999999992E-2</v>
      </c>
      <c r="CC41" s="438">
        <f t="shared" si="118"/>
        <v>3.499999999999992E-2</v>
      </c>
      <c r="CD41" s="438">
        <f t="shared" si="118"/>
        <v>3.499999999999992E-2</v>
      </c>
    </row>
    <row r="42" spans="1:82" ht="17.25" customHeight="1">
      <c r="B42" s="430"/>
      <c r="C42" s="431"/>
      <c r="D42" s="431"/>
      <c r="E42" s="431"/>
      <c r="F42" s="431"/>
      <c r="G42" s="431"/>
      <c r="H42" s="431"/>
      <c r="I42" s="431"/>
      <c r="J42" s="431"/>
      <c r="K42" s="431"/>
      <c r="L42" s="431"/>
      <c r="M42" s="431"/>
      <c r="N42" s="431"/>
      <c r="O42" s="431"/>
      <c r="P42" s="431"/>
      <c r="Q42" s="431"/>
      <c r="R42" s="431"/>
      <c r="S42" s="431"/>
      <c r="T42" s="431"/>
      <c r="U42" s="431"/>
      <c r="V42" s="431"/>
      <c r="W42" s="431"/>
      <c r="X42" s="431"/>
      <c r="Y42" s="431"/>
      <c r="Z42" s="431"/>
      <c r="AA42" s="431"/>
      <c r="AB42" s="431"/>
      <c r="AC42" s="431"/>
      <c r="AD42" s="431"/>
      <c r="AE42" s="431"/>
      <c r="AF42" s="431"/>
      <c r="AG42" s="431"/>
      <c r="AH42" s="431"/>
      <c r="AI42" s="431"/>
      <c r="AJ42" s="431"/>
      <c r="AK42" s="431"/>
      <c r="AL42" s="431"/>
      <c r="AM42" s="431"/>
      <c r="AN42" s="431"/>
      <c r="AO42" s="431"/>
      <c r="AP42" s="432"/>
      <c r="AQ42" s="432"/>
      <c r="AR42" s="432"/>
      <c r="AS42" s="432"/>
      <c r="AU42" s="432"/>
      <c r="BP42" s="452"/>
      <c r="BQ42" s="452"/>
      <c r="BR42" s="452"/>
      <c r="BS42" s="452"/>
      <c r="BT42" s="452"/>
      <c r="BU42" s="452"/>
      <c r="BV42" s="452"/>
      <c r="BW42" s="452"/>
      <c r="BX42" s="452"/>
      <c r="BY42" s="452"/>
      <c r="BZ42" s="452"/>
      <c r="CA42" s="432"/>
      <c r="CB42" s="432"/>
      <c r="CC42" s="432"/>
      <c r="CD42" s="432"/>
    </row>
    <row r="43" spans="1:82" ht="17.25" customHeight="1">
      <c r="A43" s="479" t="s">
        <v>203</v>
      </c>
      <c r="AP43" s="444"/>
      <c r="AQ43" s="444"/>
      <c r="AR43" s="444"/>
      <c r="AS43" s="444"/>
      <c r="AU43" s="444"/>
      <c r="CA43" s="444"/>
      <c r="CB43" s="444"/>
      <c r="CC43" s="444"/>
      <c r="CD43" s="444"/>
    </row>
    <row r="44" spans="1:82" ht="17.25" customHeight="1">
      <c r="A44" s="423" t="s">
        <v>204</v>
      </c>
      <c r="V44" s="480">
        <v>0.6</v>
      </c>
      <c r="W44" s="480">
        <v>0.6</v>
      </c>
      <c r="X44" s="480">
        <v>0.6</v>
      </c>
      <c r="Y44" s="480">
        <v>0.6</v>
      </c>
      <c r="Z44" s="480">
        <v>0.6</v>
      </c>
      <c r="AA44" s="480">
        <v>0.6</v>
      </c>
      <c r="AB44" s="480">
        <v>0.6</v>
      </c>
      <c r="AC44" s="480">
        <v>0.6</v>
      </c>
      <c r="AD44" s="480">
        <v>0.6</v>
      </c>
      <c r="AE44" s="480">
        <v>0.6</v>
      </c>
      <c r="AF44" s="480">
        <v>0.6</v>
      </c>
      <c r="AG44" s="480">
        <v>0.6</v>
      </c>
      <c r="AH44" s="480">
        <v>0.6</v>
      </c>
      <c r="AI44" s="480">
        <v>0.6</v>
      </c>
      <c r="AJ44" s="480">
        <v>0.6</v>
      </c>
      <c r="AK44" s="480">
        <f>AJ44</f>
        <v>0.6</v>
      </c>
      <c r="AL44" s="480">
        <f>AK44</f>
        <v>0.6</v>
      </c>
      <c r="AM44" s="480">
        <f>AL44</f>
        <v>0.6</v>
      </c>
      <c r="AN44" s="480">
        <f>AM44</f>
        <v>0.6</v>
      </c>
      <c r="AO44" s="480">
        <f>AN44</f>
        <v>0.6</v>
      </c>
      <c r="AP44" s="481">
        <f t="shared" ref="AP44:AS44" si="119">AO44</f>
        <v>0.6</v>
      </c>
      <c r="AQ44" s="481">
        <f t="shared" si="119"/>
        <v>0.6</v>
      </c>
      <c r="AR44" s="481">
        <f t="shared" si="119"/>
        <v>0.6</v>
      </c>
      <c r="AS44" s="481">
        <f t="shared" si="119"/>
        <v>0.6</v>
      </c>
      <c r="AT44" s="481"/>
      <c r="AU44" s="481">
        <v>0.6</v>
      </c>
      <c r="AV44" s="481"/>
      <c r="AW44" s="481"/>
      <c r="AX44" s="481"/>
      <c r="AY44" s="481"/>
      <c r="AZ44" s="481"/>
      <c r="BA44" s="481"/>
      <c r="BB44" s="481"/>
      <c r="BC44" s="481"/>
      <c r="BD44" s="481"/>
      <c r="BE44" s="481"/>
      <c r="BF44" s="481"/>
      <c r="BG44" s="481"/>
      <c r="BH44" s="481"/>
      <c r="BI44" s="481"/>
      <c r="BJ44" s="481"/>
      <c r="BK44" s="481"/>
      <c r="BL44" s="481"/>
      <c r="BM44" s="481"/>
      <c r="BN44" s="481"/>
      <c r="BO44" s="481"/>
      <c r="BP44" s="481"/>
      <c r="BQ44" s="481"/>
      <c r="BR44" s="481"/>
      <c r="BU44" s="481">
        <v>0.6</v>
      </c>
      <c r="BV44" s="481">
        <v>0.6</v>
      </c>
      <c r="BW44" s="481">
        <v>0.6</v>
      </c>
      <c r="BX44" s="481">
        <v>0.6</v>
      </c>
      <c r="BY44" s="481">
        <v>0.6</v>
      </c>
      <c r="BZ44" s="481">
        <v>0.6</v>
      </c>
      <c r="CA44" s="481">
        <f>BZ44</f>
        <v>0.6</v>
      </c>
      <c r="CB44" s="481">
        <f>CA44</f>
        <v>0.6</v>
      </c>
      <c r="CC44" s="481">
        <f>CB44</f>
        <v>0.6</v>
      </c>
      <c r="CD44" s="481">
        <f>CC44</f>
        <v>0.6</v>
      </c>
    </row>
    <row r="45" spans="1:82" ht="17.25" customHeight="1">
      <c r="A45" s="423" t="s">
        <v>198</v>
      </c>
      <c r="V45" s="482">
        <v>0.24</v>
      </c>
      <c r="W45" s="482">
        <f>+V45</f>
        <v>0.24</v>
      </c>
      <c r="X45" s="482">
        <f t="shared" ref="X45:AJ45" si="120">+W45</f>
        <v>0.24</v>
      </c>
      <c r="Y45" s="482">
        <f t="shared" si="120"/>
        <v>0.24</v>
      </c>
      <c r="Z45" s="482">
        <f t="shared" si="120"/>
        <v>0.24</v>
      </c>
      <c r="AA45" s="482">
        <f t="shared" si="120"/>
        <v>0.24</v>
      </c>
      <c r="AB45" s="482">
        <f t="shared" si="120"/>
        <v>0.24</v>
      </c>
      <c r="AC45" s="482">
        <f t="shared" si="120"/>
        <v>0.24</v>
      </c>
      <c r="AD45" s="482">
        <f t="shared" si="120"/>
        <v>0.24</v>
      </c>
      <c r="AE45" s="482">
        <f t="shared" si="120"/>
        <v>0.24</v>
      </c>
      <c r="AF45" s="482">
        <f t="shared" si="120"/>
        <v>0.24</v>
      </c>
      <c r="AG45" s="482">
        <f t="shared" si="120"/>
        <v>0.24</v>
      </c>
      <c r="AH45" s="482">
        <f t="shared" si="120"/>
        <v>0.24</v>
      </c>
      <c r="AI45" s="482">
        <f t="shared" si="120"/>
        <v>0.24</v>
      </c>
      <c r="AJ45" s="482">
        <f t="shared" si="120"/>
        <v>0.24</v>
      </c>
      <c r="AK45" s="482">
        <f t="shared" ref="AK45:AO49" si="121">+AJ45</f>
        <v>0.24</v>
      </c>
      <c r="AL45" s="482">
        <f t="shared" si="121"/>
        <v>0.24</v>
      </c>
      <c r="AM45" s="482">
        <f t="shared" si="121"/>
        <v>0.24</v>
      </c>
      <c r="AN45" s="482">
        <f t="shared" si="121"/>
        <v>0.24</v>
      </c>
      <c r="AO45" s="482">
        <f t="shared" si="121"/>
        <v>0.24</v>
      </c>
      <c r="AP45" s="483">
        <f t="shared" ref="AP45" si="122">+AO45</f>
        <v>0.24</v>
      </c>
      <c r="AQ45" s="483">
        <f t="shared" ref="AQ45" si="123">+AP45</f>
        <v>0.24</v>
      </c>
      <c r="AR45" s="483">
        <f t="shared" ref="AR45" si="124">+AQ45</f>
        <v>0.24</v>
      </c>
      <c r="AS45" s="483">
        <f t="shared" ref="AS45" si="125">+AR45</f>
        <v>0.24</v>
      </c>
      <c r="AT45" s="481"/>
      <c r="AU45" s="483">
        <v>0.24</v>
      </c>
      <c r="AV45" s="481"/>
      <c r="AW45" s="481"/>
      <c r="AX45" s="481"/>
      <c r="AY45" s="481"/>
      <c r="AZ45" s="481"/>
      <c r="BA45" s="481"/>
      <c r="BB45" s="481"/>
      <c r="BC45" s="481"/>
      <c r="BD45" s="481"/>
      <c r="BE45" s="481"/>
      <c r="BF45" s="481"/>
      <c r="BG45" s="481"/>
      <c r="BH45" s="481"/>
      <c r="BI45" s="481"/>
      <c r="BJ45" s="481"/>
      <c r="BK45" s="481"/>
      <c r="BL45" s="481"/>
      <c r="BM45" s="481"/>
      <c r="BN45" s="481"/>
      <c r="BO45" s="481"/>
      <c r="BP45" s="481"/>
      <c r="BQ45" s="481"/>
      <c r="BR45" s="481"/>
      <c r="BU45" s="483">
        <v>0.24</v>
      </c>
      <c r="BV45" s="483">
        <v>0.24</v>
      </c>
      <c r="BW45" s="483">
        <v>0.24</v>
      </c>
      <c r="BX45" s="483">
        <v>0.24</v>
      </c>
      <c r="BY45" s="483">
        <v>0.24</v>
      </c>
      <c r="BZ45" s="483">
        <v>0.24</v>
      </c>
      <c r="CA45" s="483">
        <f t="shared" ref="CA45:CD50" si="126">+BZ45</f>
        <v>0.24</v>
      </c>
      <c r="CB45" s="483">
        <f t="shared" si="126"/>
        <v>0.24</v>
      </c>
      <c r="CC45" s="483">
        <f t="shared" si="126"/>
        <v>0.24</v>
      </c>
      <c r="CD45" s="483">
        <f t="shared" si="126"/>
        <v>0.24</v>
      </c>
    </row>
    <row r="46" spans="1:82" ht="17.25" customHeight="1">
      <c r="A46" s="423" t="s">
        <v>199</v>
      </c>
      <c r="V46" s="454">
        <f t="shared" ref="V46:AJ46" si="127">+V44-V45</f>
        <v>0.36</v>
      </c>
      <c r="W46" s="454">
        <f t="shared" si="127"/>
        <v>0.36</v>
      </c>
      <c r="X46" s="454">
        <f t="shared" si="127"/>
        <v>0.36</v>
      </c>
      <c r="Y46" s="454">
        <f t="shared" si="127"/>
        <v>0.36</v>
      </c>
      <c r="Z46" s="454">
        <f t="shared" si="127"/>
        <v>0.36</v>
      </c>
      <c r="AA46" s="454">
        <f t="shared" si="127"/>
        <v>0.36</v>
      </c>
      <c r="AB46" s="454">
        <f t="shared" si="127"/>
        <v>0.36</v>
      </c>
      <c r="AC46" s="454">
        <f t="shared" si="127"/>
        <v>0.36</v>
      </c>
      <c r="AD46" s="454">
        <f t="shared" si="127"/>
        <v>0.36</v>
      </c>
      <c r="AE46" s="454">
        <f t="shared" si="127"/>
        <v>0.36</v>
      </c>
      <c r="AF46" s="454">
        <f t="shared" si="127"/>
        <v>0.36</v>
      </c>
      <c r="AG46" s="454">
        <f t="shared" si="127"/>
        <v>0.36</v>
      </c>
      <c r="AH46" s="454">
        <f t="shared" si="127"/>
        <v>0.36</v>
      </c>
      <c r="AI46" s="454">
        <f t="shared" si="127"/>
        <v>0.36</v>
      </c>
      <c r="AJ46" s="454">
        <f t="shared" si="127"/>
        <v>0.36</v>
      </c>
      <c r="AK46" s="454">
        <f>+AK44-AK45</f>
        <v>0.36</v>
      </c>
      <c r="AL46" s="454">
        <f t="shared" ref="AL46" si="128">+AL44-AL45</f>
        <v>0.36</v>
      </c>
      <c r="AM46" s="454">
        <f t="shared" ref="AM46:AN46" si="129">+AM44-AM45</f>
        <v>0.36</v>
      </c>
      <c r="AN46" s="454">
        <f t="shared" si="129"/>
        <v>0.36</v>
      </c>
      <c r="AO46" s="454">
        <f t="shared" ref="AO46" si="130">+AO44-AO45</f>
        <v>0.36</v>
      </c>
      <c r="AP46" s="454">
        <f t="shared" ref="AP46:AS46" si="131">+AP44-AP45</f>
        <v>0.36</v>
      </c>
      <c r="AQ46" s="454">
        <f t="shared" si="131"/>
        <v>0.36</v>
      </c>
      <c r="AR46" s="454">
        <f t="shared" si="131"/>
        <v>0.36</v>
      </c>
      <c r="AS46" s="454">
        <f t="shared" si="131"/>
        <v>0.36</v>
      </c>
      <c r="AT46" s="481"/>
      <c r="AU46" s="433">
        <v>0.36</v>
      </c>
      <c r="AV46" s="481"/>
      <c r="AW46" s="481"/>
      <c r="AX46" s="481"/>
      <c r="AY46" s="481"/>
      <c r="AZ46" s="481"/>
      <c r="BA46" s="481"/>
      <c r="BB46" s="481"/>
      <c r="BC46" s="481"/>
      <c r="BD46" s="481"/>
      <c r="BE46" s="481"/>
      <c r="BF46" s="481"/>
      <c r="BG46" s="481"/>
      <c r="BH46" s="481"/>
      <c r="BI46" s="481"/>
      <c r="BJ46" s="481"/>
      <c r="BK46" s="481"/>
      <c r="BL46" s="481"/>
      <c r="BM46" s="481"/>
      <c r="BN46" s="481"/>
      <c r="BO46" s="481"/>
      <c r="BP46" s="481"/>
      <c r="BQ46" s="481"/>
      <c r="BR46" s="481"/>
      <c r="BU46" s="433">
        <v>0.36</v>
      </c>
      <c r="BV46" s="433">
        <v>0.36</v>
      </c>
      <c r="BW46" s="433">
        <v>0.36</v>
      </c>
      <c r="BX46" s="433">
        <v>0.36</v>
      </c>
      <c r="BY46" s="433">
        <v>0.36</v>
      </c>
      <c r="BZ46" s="433">
        <v>0.36</v>
      </c>
      <c r="CA46" s="433">
        <f t="shared" si="126"/>
        <v>0.36</v>
      </c>
      <c r="CB46" s="433">
        <f t="shared" si="126"/>
        <v>0.36</v>
      </c>
      <c r="CC46" s="433">
        <f t="shared" si="126"/>
        <v>0.36</v>
      </c>
      <c r="CD46" s="433">
        <f t="shared" si="126"/>
        <v>0.36</v>
      </c>
    </row>
    <row r="47" spans="1:82" ht="17.25" customHeight="1">
      <c r="A47" s="423" t="s">
        <v>205</v>
      </c>
      <c r="V47" s="452">
        <f t="shared" ref="V47:AK47" si="132">1-V44</f>
        <v>0.4</v>
      </c>
      <c r="W47" s="452">
        <f t="shared" si="132"/>
        <v>0.4</v>
      </c>
      <c r="X47" s="452">
        <f t="shared" si="132"/>
        <v>0.4</v>
      </c>
      <c r="Y47" s="452">
        <f t="shared" si="132"/>
        <v>0.4</v>
      </c>
      <c r="Z47" s="452">
        <f t="shared" si="132"/>
        <v>0.4</v>
      </c>
      <c r="AA47" s="452">
        <f t="shared" si="132"/>
        <v>0.4</v>
      </c>
      <c r="AB47" s="452">
        <f t="shared" si="132"/>
        <v>0.4</v>
      </c>
      <c r="AC47" s="452">
        <f t="shared" si="132"/>
        <v>0.4</v>
      </c>
      <c r="AD47" s="452">
        <f t="shared" si="132"/>
        <v>0.4</v>
      </c>
      <c r="AE47" s="452">
        <f t="shared" si="132"/>
        <v>0.4</v>
      </c>
      <c r="AF47" s="452">
        <f t="shared" si="132"/>
        <v>0.4</v>
      </c>
      <c r="AG47" s="452">
        <f t="shared" si="132"/>
        <v>0.4</v>
      </c>
      <c r="AH47" s="452">
        <f t="shared" si="132"/>
        <v>0.4</v>
      </c>
      <c r="AI47" s="452">
        <f t="shared" si="132"/>
        <v>0.4</v>
      </c>
      <c r="AJ47" s="452">
        <f t="shared" si="132"/>
        <v>0.4</v>
      </c>
      <c r="AK47" s="452">
        <f t="shared" si="132"/>
        <v>0.4</v>
      </c>
      <c r="AL47" s="452">
        <f>1-AL44</f>
        <v>0.4</v>
      </c>
      <c r="AM47" s="452">
        <f>1-AM44</f>
        <v>0.4</v>
      </c>
      <c r="AN47" s="452">
        <f>1-AN44</f>
        <v>0.4</v>
      </c>
      <c r="AO47" s="452">
        <f>1-AO44</f>
        <v>0.4</v>
      </c>
      <c r="AP47" s="452">
        <f t="shared" ref="AP47:AS47" si="133">1-AP44</f>
        <v>0.4</v>
      </c>
      <c r="AQ47" s="452">
        <f t="shared" si="133"/>
        <v>0.4</v>
      </c>
      <c r="AR47" s="452">
        <f t="shared" si="133"/>
        <v>0.4</v>
      </c>
      <c r="AS47" s="452">
        <f t="shared" si="133"/>
        <v>0.4</v>
      </c>
      <c r="AU47" s="452">
        <v>0.4</v>
      </c>
      <c r="BU47" s="452">
        <v>0.4</v>
      </c>
      <c r="BV47" s="452">
        <v>0.4</v>
      </c>
      <c r="BW47" s="452">
        <v>0.4</v>
      </c>
      <c r="BX47" s="452">
        <v>0.4</v>
      </c>
      <c r="BY47" s="452">
        <v>0.4</v>
      </c>
      <c r="BZ47" s="452">
        <v>0.4</v>
      </c>
      <c r="CA47" s="452">
        <f t="shared" si="126"/>
        <v>0.4</v>
      </c>
      <c r="CB47" s="452">
        <f t="shared" si="126"/>
        <v>0.4</v>
      </c>
      <c r="CC47" s="452">
        <f t="shared" si="126"/>
        <v>0.4</v>
      </c>
      <c r="CD47" s="452">
        <f t="shared" si="126"/>
        <v>0.4</v>
      </c>
    </row>
    <row r="48" spans="1:82" ht="17.25" customHeight="1">
      <c r="A48" s="423" t="s">
        <v>200</v>
      </c>
      <c r="V48" s="482">
        <v>0.08</v>
      </c>
      <c r="W48" s="482">
        <f t="shared" ref="W48:AJ49" si="134">+V48</f>
        <v>0.08</v>
      </c>
      <c r="X48" s="482">
        <f t="shared" si="134"/>
        <v>0.08</v>
      </c>
      <c r="Y48" s="482">
        <f t="shared" si="134"/>
        <v>0.08</v>
      </c>
      <c r="Z48" s="482">
        <f t="shared" si="134"/>
        <v>0.08</v>
      </c>
      <c r="AA48" s="482">
        <f t="shared" si="134"/>
        <v>0.08</v>
      </c>
      <c r="AB48" s="482">
        <f t="shared" si="134"/>
        <v>0.08</v>
      </c>
      <c r="AC48" s="482">
        <f t="shared" si="134"/>
        <v>0.08</v>
      </c>
      <c r="AD48" s="482">
        <f t="shared" si="134"/>
        <v>0.08</v>
      </c>
      <c r="AE48" s="482">
        <f t="shared" si="134"/>
        <v>0.08</v>
      </c>
      <c r="AF48" s="482">
        <f t="shared" si="134"/>
        <v>0.08</v>
      </c>
      <c r="AG48" s="482">
        <f t="shared" si="134"/>
        <v>0.08</v>
      </c>
      <c r="AH48" s="482">
        <f t="shared" si="134"/>
        <v>0.08</v>
      </c>
      <c r="AI48" s="482">
        <f t="shared" si="134"/>
        <v>0.08</v>
      </c>
      <c r="AJ48" s="482">
        <f t="shared" si="134"/>
        <v>0.08</v>
      </c>
      <c r="AK48" s="482">
        <f t="shared" si="121"/>
        <v>0.08</v>
      </c>
      <c r="AL48" s="482">
        <f t="shared" si="121"/>
        <v>0.08</v>
      </c>
      <c r="AM48" s="482">
        <f t="shared" si="121"/>
        <v>0.08</v>
      </c>
      <c r="AN48" s="482">
        <f t="shared" si="121"/>
        <v>0.08</v>
      </c>
      <c r="AO48" s="482">
        <f t="shared" si="121"/>
        <v>0.08</v>
      </c>
      <c r="AP48" s="483">
        <f t="shared" ref="AP48:AP49" si="135">+AO48</f>
        <v>0.08</v>
      </c>
      <c r="AQ48" s="483">
        <f t="shared" ref="AQ48:AQ49" si="136">+AP48</f>
        <v>0.08</v>
      </c>
      <c r="AR48" s="483">
        <f t="shared" ref="AR48:AR49" si="137">+AQ48</f>
        <v>0.08</v>
      </c>
      <c r="AS48" s="483">
        <f t="shared" ref="AS48:AS49" si="138">+AR48</f>
        <v>0.08</v>
      </c>
      <c r="AU48" s="483">
        <v>0.08</v>
      </c>
      <c r="BU48" s="483">
        <v>0.08</v>
      </c>
      <c r="BV48" s="483">
        <v>0.08</v>
      </c>
      <c r="BW48" s="483">
        <v>0.08</v>
      </c>
      <c r="BX48" s="483">
        <v>0.08</v>
      </c>
      <c r="BY48" s="483">
        <v>0.08</v>
      </c>
      <c r="BZ48" s="483">
        <v>0.08</v>
      </c>
      <c r="CA48" s="483">
        <f t="shared" si="126"/>
        <v>0.08</v>
      </c>
      <c r="CB48" s="483">
        <f t="shared" si="126"/>
        <v>0.08</v>
      </c>
      <c r="CC48" s="483">
        <f t="shared" si="126"/>
        <v>0.08</v>
      </c>
      <c r="CD48" s="483">
        <f t="shared" si="126"/>
        <v>0.08</v>
      </c>
    </row>
    <row r="49" spans="1:82" ht="17.25" customHeight="1">
      <c r="A49" s="423" t="s">
        <v>201</v>
      </c>
      <c r="V49" s="482">
        <v>0.09</v>
      </c>
      <c r="W49" s="482">
        <f t="shared" si="134"/>
        <v>0.09</v>
      </c>
      <c r="X49" s="482">
        <f t="shared" si="134"/>
        <v>0.09</v>
      </c>
      <c r="Y49" s="482">
        <f t="shared" si="134"/>
        <v>0.09</v>
      </c>
      <c r="Z49" s="482">
        <f t="shared" si="134"/>
        <v>0.09</v>
      </c>
      <c r="AA49" s="482">
        <f t="shared" si="134"/>
        <v>0.09</v>
      </c>
      <c r="AB49" s="482">
        <f t="shared" si="134"/>
        <v>0.09</v>
      </c>
      <c r="AC49" s="482">
        <f t="shared" si="134"/>
        <v>0.09</v>
      </c>
      <c r="AD49" s="482">
        <f t="shared" si="134"/>
        <v>0.09</v>
      </c>
      <c r="AE49" s="482">
        <f t="shared" si="134"/>
        <v>0.09</v>
      </c>
      <c r="AF49" s="482">
        <f t="shared" si="134"/>
        <v>0.09</v>
      </c>
      <c r="AG49" s="482">
        <f t="shared" si="134"/>
        <v>0.09</v>
      </c>
      <c r="AH49" s="482">
        <f t="shared" si="134"/>
        <v>0.09</v>
      </c>
      <c r="AI49" s="482">
        <f t="shared" si="134"/>
        <v>0.09</v>
      </c>
      <c r="AJ49" s="482">
        <f t="shared" si="134"/>
        <v>0.09</v>
      </c>
      <c r="AK49" s="482">
        <f t="shared" si="121"/>
        <v>0.09</v>
      </c>
      <c r="AL49" s="482">
        <f t="shared" si="121"/>
        <v>0.09</v>
      </c>
      <c r="AM49" s="482">
        <f t="shared" si="121"/>
        <v>0.09</v>
      </c>
      <c r="AN49" s="482">
        <f t="shared" si="121"/>
        <v>0.09</v>
      </c>
      <c r="AO49" s="482">
        <f t="shared" si="121"/>
        <v>0.09</v>
      </c>
      <c r="AP49" s="483">
        <f t="shared" si="135"/>
        <v>0.09</v>
      </c>
      <c r="AQ49" s="483">
        <f t="shared" si="136"/>
        <v>0.09</v>
      </c>
      <c r="AR49" s="483">
        <f t="shared" si="137"/>
        <v>0.09</v>
      </c>
      <c r="AS49" s="483">
        <f t="shared" si="138"/>
        <v>0.09</v>
      </c>
      <c r="AU49" s="483">
        <v>0.09</v>
      </c>
      <c r="BU49" s="483">
        <v>0.09</v>
      </c>
      <c r="BV49" s="483">
        <v>0.09</v>
      </c>
      <c r="BW49" s="483">
        <v>0.09</v>
      </c>
      <c r="BX49" s="483">
        <v>0.09</v>
      </c>
      <c r="BY49" s="483">
        <v>0.09</v>
      </c>
      <c r="BZ49" s="483">
        <v>0.09</v>
      </c>
      <c r="CA49" s="483">
        <f t="shared" si="126"/>
        <v>0.09</v>
      </c>
      <c r="CB49" s="483">
        <f t="shared" si="126"/>
        <v>0.09</v>
      </c>
      <c r="CC49" s="483">
        <f t="shared" si="126"/>
        <v>0.09</v>
      </c>
      <c r="CD49" s="483">
        <f t="shared" si="126"/>
        <v>0.09</v>
      </c>
    </row>
    <row r="50" spans="1:82" ht="17.25" customHeight="1">
      <c r="A50" s="423" t="s">
        <v>202</v>
      </c>
      <c r="V50" s="454">
        <f t="shared" ref="V50:AK50" si="139">+V47-V48-V49</f>
        <v>0.23</v>
      </c>
      <c r="W50" s="454">
        <f t="shared" si="139"/>
        <v>0.23</v>
      </c>
      <c r="X50" s="454">
        <f t="shared" si="139"/>
        <v>0.23</v>
      </c>
      <c r="Y50" s="454">
        <f t="shared" si="139"/>
        <v>0.23</v>
      </c>
      <c r="Z50" s="454">
        <f t="shared" si="139"/>
        <v>0.23</v>
      </c>
      <c r="AA50" s="454">
        <f t="shared" si="139"/>
        <v>0.23</v>
      </c>
      <c r="AB50" s="454">
        <f t="shared" si="139"/>
        <v>0.23</v>
      </c>
      <c r="AC50" s="454">
        <f t="shared" si="139"/>
        <v>0.23</v>
      </c>
      <c r="AD50" s="454">
        <f t="shared" si="139"/>
        <v>0.23</v>
      </c>
      <c r="AE50" s="454">
        <f t="shared" si="139"/>
        <v>0.23</v>
      </c>
      <c r="AF50" s="454">
        <f t="shared" si="139"/>
        <v>0.23</v>
      </c>
      <c r="AG50" s="454">
        <f t="shared" si="139"/>
        <v>0.23</v>
      </c>
      <c r="AH50" s="454">
        <f t="shared" si="139"/>
        <v>0.23</v>
      </c>
      <c r="AI50" s="454">
        <f t="shared" si="139"/>
        <v>0.23</v>
      </c>
      <c r="AJ50" s="454">
        <f t="shared" si="139"/>
        <v>0.23</v>
      </c>
      <c r="AK50" s="454">
        <f t="shared" si="139"/>
        <v>0.23</v>
      </c>
      <c r="AL50" s="454">
        <f>+AL47-AL48-AL49</f>
        <v>0.23</v>
      </c>
      <c r="AM50" s="454">
        <f>+AM47-AM48-AM49</f>
        <v>0.23</v>
      </c>
      <c r="AN50" s="454">
        <f>+AN47-AN48-AN49</f>
        <v>0.23</v>
      </c>
      <c r="AO50" s="454">
        <f>+AO47-AO48-AO49</f>
        <v>0.23</v>
      </c>
      <c r="AP50" s="454">
        <f t="shared" ref="AP50:AS50" si="140">+AP47-AP48-AP49</f>
        <v>0.23</v>
      </c>
      <c r="AQ50" s="454">
        <f t="shared" si="140"/>
        <v>0.23</v>
      </c>
      <c r="AR50" s="454">
        <f t="shared" si="140"/>
        <v>0.23</v>
      </c>
      <c r="AS50" s="454">
        <f t="shared" si="140"/>
        <v>0.23</v>
      </c>
      <c r="AU50" s="433">
        <v>0.23</v>
      </c>
      <c r="BU50" s="433">
        <v>0.23</v>
      </c>
      <c r="BV50" s="433">
        <v>0.23</v>
      </c>
      <c r="BW50" s="433">
        <v>0.23</v>
      </c>
      <c r="BX50" s="433">
        <v>0.23</v>
      </c>
      <c r="BY50" s="433">
        <v>0.23</v>
      </c>
      <c r="BZ50" s="433">
        <v>0.23</v>
      </c>
      <c r="CA50" s="433">
        <f t="shared" si="126"/>
        <v>0.23</v>
      </c>
      <c r="CB50" s="433">
        <f t="shared" si="126"/>
        <v>0.23</v>
      </c>
      <c r="CC50" s="433">
        <f t="shared" si="126"/>
        <v>0.23</v>
      </c>
      <c r="CD50" s="433">
        <f t="shared" si="126"/>
        <v>0.23</v>
      </c>
    </row>
    <row r="51" spans="1:82" ht="17.25" customHeight="1">
      <c r="V51" s="454"/>
      <c r="AP51" s="444"/>
      <c r="AQ51" s="444"/>
      <c r="AR51" s="444"/>
      <c r="AS51" s="444"/>
      <c r="AU51" s="444"/>
      <c r="CA51" s="444"/>
      <c r="CB51" s="444"/>
      <c r="CC51" s="444"/>
      <c r="CD51" s="444"/>
    </row>
    <row r="52" spans="1:82" s="485" customFormat="1" ht="17.25" customHeight="1">
      <c r="A52" s="484" t="s">
        <v>206</v>
      </c>
      <c r="F52" s="485">
        <f t="shared" ref="F52:AI52" si="141">0.0904*F57+0.5892</f>
        <v>0.58626535578984362</v>
      </c>
      <c r="G52" s="485">
        <f t="shared" si="141"/>
        <v>0.5814492209460973</v>
      </c>
      <c r="H52" s="485">
        <f t="shared" si="141"/>
        <v>0.5957388584875547</v>
      </c>
      <c r="I52" s="485">
        <f t="shared" si="141"/>
        <v>0.61127439600312361</v>
      </c>
      <c r="J52" s="485">
        <f t="shared" si="141"/>
        <v>0.61854937777423324</v>
      </c>
      <c r="K52" s="485">
        <f t="shared" si="141"/>
        <v>0.63911156381431433</v>
      </c>
      <c r="L52" s="485">
        <f t="shared" si="141"/>
        <v>0.62701234123964922</v>
      </c>
      <c r="M52" s="485">
        <f t="shared" si="141"/>
        <v>0.61236938702956856</v>
      </c>
      <c r="N52" s="485">
        <f t="shared" si="141"/>
        <v>0.60178293991370824</v>
      </c>
      <c r="O52" s="485">
        <f t="shared" si="141"/>
        <v>0.58651084602034775</v>
      </c>
      <c r="P52" s="485">
        <f t="shared" si="141"/>
        <v>0.58214221508086206</v>
      </c>
      <c r="Q52" s="485">
        <f t="shared" si="141"/>
        <v>0.56688895853131294</v>
      </c>
      <c r="R52" s="485">
        <f t="shared" si="141"/>
        <v>0.56139680817480264</v>
      </c>
      <c r="S52" s="485">
        <f t="shared" si="141"/>
        <v>0.57420627283305947</v>
      </c>
      <c r="T52" s="485">
        <f t="shared" si="141"/>
        <v>0.57326580561628471</v>
      </c>
      <c r="U52" s="485">
        <f t="shared" si="141"/>
        <v>0.57926196417325182</v>
      </c>
      <c r="V52" s="485">
        <f t="shared" si="141"/>
        <v>0.58878142227050256</v>
      </c>
      <c r="W52" s="485">
        <f t="shared" si="141"/>
        <v>0.58474837653308109</v>
      </c>
      <c r="X52" s="485">
        <f t="shared" si="141"/>
        <v>0.6183133785894489</v>
      </c>
      <c r="Y52" s="485">
        <f t="shared" si="141"/>
        <v>0.65123309364471305</v>
      </c>
      <c r="Z52" s="485">
        <f t="shared" si="141"/>
        <v>0.65155623366268478</v>
      </c>
      <c r="AA52" s="485">
        <f t="shared" si="141"/>
        <v>0.63684288131959876</v>
      </c>
      <c r="AB52" s="485">
        <f t="shared" si="141"/>
        <v>0.61256020226408969</v>
      </c>
      <c r="AC52" s="485">
        <f t="shared" si="141"/>
        <v>0.60181214007423434</v>
      </c>
      <c r="AD52" s="485">
        <f t="shared" si="141"/>
        <v>0.598357102821373</v>
      </c>
      <c r="AE52" s="485">
        <f t="shared" si="141"/>
        <v>0.59161835445294075</v>
      </c>
      <c r="AF52" s="485">
        <f t="shared" si="141"/>
        <v>0.56650490831191513</v>
      </c>
      <c r="AG52" s="485">
        <f t="shared" si="141"/>
        <v>0.5481796038749005</v>
      </c>
      <c r="AH52" s="485">
        <f t="shared" si="141"/>
        <v>0.55294682936204087</v>
      </c>
      <c r="AI52" s="485">
        <f t="shared" si="141"/>
        <v>0.57213813906112143</v>
      </c>
      <c r="AJ52" s="485">
        <f t="shared" ref="AJ52:AK52" si="142">0.0904*AJ57+0.5892</f>
        <v>0.6005252546786215</v>
      </c>
      <c r="AK52" s="485">
        <f t="shared" si="142"/>
        <v>0.63583347940911161</v>
      </c>
      <c r="AL52" s="485">
        <f t="shared" ref="AL52:AM52" si="143">0.0904*AL57+0.5892</f>
        <v>0.62421190758452882</v>
      </c>
      <c r="AM52" s="485">
        <f t="shared" si="143"/>
        <v>0.60778091698680059</v>
      </c>
      <c r="AN52" s="485">
        <f t="shared" ref="AN52:AO52" si="144">0.0904*AN57+0.5892</f>
        <v>0.58539804546868712</v>
      </c>
      <c r="AO52" s="485">
        <f t="shared" si="144"/>
        <v>0.58351064794481067</v>
      </c>
      <c r="AP52" s="485">
        <f t="shared" ref="AP52:AS52" si="145">0.0904*AP57+0.5892</f>
        <v>0.58056607551405459</v>
      </c>
      <c r="AQ52" s="485">
        <f t="shared" si="145"/>
        <v>0.57863696613650595</v>
      </c>
      <c r="AR52" s="485">
        <f t="shared" si="145"/>
        <v>0.58800047266691757</v>
      </c>
      <c r="AS52" s="485">
        <f t="shared" si="145"/>
        <v>0.58572677249852612</v>
      </c>
      <c r="AU52" s="485">
        <v>0.58653221343264961</v>
      </c>
      <c r="BP52" s="485">
        <f t="shared" ref="BP52:CD52" si="146">0.0904*BP57+0.5892</f>
        <v>0.59396732229997573</v>
      </c>
      <c r="BQ52" s="485">
        <f t="shared" si="146"/>
        <v>0.61217476587850383</v>
      </c>
      <c r="BR52" s="485">
        <f t="shared" si="146"/>
        <v>0.61017162769815736</v>
      </c>
      <c r="BS52" s="485">
        <f t="shared" si="146"/>
        <v>0.57242891788942751</v>
      </c>
      <c r="BT52" s="485">
        <f t="shared" si="146"/>
        <v>0.57071241246340187</v>
      </c>
      <c r="BU52" s="485">
        <f t="shared" si="146"/>
        <v>0.63787628741172853</v>
      </c>
      <c r="BV52" s="485">
        <f t="shared" si="146"/>
        <v>0.61296822671182183</v>
      </c>
      <c r="BW52" s="485">
        <f t="shared" si="146"/>
        <v>0.5658834388619095</v>
      </c>
      <c r="BX52" s="485">
        <f t="shared" si="146"/>
        <v>0.59121917651448141</v>
      </c>
      <c r="BY52" s="485">
        <f>0.0904*BY57+0.5892</f>
        <v>0.59805520765710773</v>
      </c>
      <c r="BZ52" s="485">
        <f>0.0904*BZ57+0.5892</f>
        <v>0.58305567023982352</v>
      </c>
      <c r="CA52" s="485">
        <f>0.0904*CA57+0.5892</f>
        <v>0.59143953334641441</v>
      </c>
      <c r="CB52" s="485">
        <f t="shared" si="146"/>
        <v>0.59052941176470586</v>
      </c>
      <c r="CC52" s="485">
        <f t="shared" si="146"/>
        <v>0.59052941176470586</v>
      </c>
      <c r="CD52" s="485">
        <f t="shared" si="146"/>
        <v>0.59052941176470586</v>
      </c>
    </row>
    <row r="53" spans="1:82" s="487" customFormat="1" ht="17.25" customHeight="1">
      <c r="A53" s="486" t="s">
        <v>196</v>
      </c>
      <c r="F53" s="487">
        <f t="shared" ref="F53:AN53" si="147">+F28-F52</f>
        <v>1.2831460455418497E-2</v>
      </c>
      <c r="G53" s="487">
        <f t="shared" si="147"/>
        <v>2.1454721993167669E-2</v>
      </c>
      <c r="H53" s="487">
        <f t="shared" si="147"/>
        <v>1.5815627473969252E-2</v>
      </c>
      <c r="I53" s="487">
        <f t="shared" si="147"/>
        <v>-1.3508026562974118E-2</v>
      </c>
      <c r="J53" s="487">
        <f t="shared" si="147"/>
        <v>-2.4335902784946128E-2</v>
      </c>
      <c r="K53" s="487">
        <f t="shared" si="147"/>
        <v>-3.7425202692662474E-2</v>
      </c>
      <c r="L53" s="487">
        <f t="shared" si="147"/>
        <v>-2.7455937404069486E-3</v>
      </c>
      <c r="M53" s="487">
        <f t="shared" si="147"/>
        <v>1.7520491042813835E-2</v>
      </c>
      <c r="N53" s="487">
        <f t="shared" si="147"/>
        <v>1.1769293436006967E-3</v>
      </c>
      <c r="O53" s="487">
        <f t="shared" si="147"/>
        <v>-3.2496009779591217E-3</v>
      </c>
      <c r="P53" s="487">
        <f t="shared" si="147"/>
        <v>-1.1816830465477435E-2</v>
      </c>
      <c r="Q53" s="487">
        <f t="shared" si="147"/>
        <v>-4.0684789460893045E-3</v>
      </c>
      <c r="R53" s="487">
        <f t="shared" si="147"/>
        <v>-7.8950613391015612E-4</v>
      </c>
      <c r="S53" s="487">
        <f t="shared" si="147"/>
        <v>1.7479970740568174E-3</v>
      </c>
      <c r="T53" s="487">
        <f t="shared" si="147"/>
        <v>4.2556213414689514E-3</v>
      </c>
      <c r="U53" s="487">
        <f t="shared" si="147"/>
        <v>-2.9963955911538331E-3</v>
      </c>
      <c r="V53" s="487">
        <f t="shared" si="147"/>
        <v>-1.5241159297051166E-2</v>
      </c>
      <c r="W53" s="487">
        <f t="shared" si="147"/>
        <v>2.8833626463280138E-2</v>
      </c>
      <c r="X53" s="487">
        <f t="shared" si="147"/>
        <v>2.062058265175637E-2</v>
      </c>
      <c r="Y53" s="487">
        <f t="shared" si="147"/>
        <v>1.3290550989989769E-2</v>
      </c>
      <c r="Z53" s="487">
        <f t="shared" si="147"/>
        <v>-5.1857867086526621E-3</v>
      </c>
      <c r="AA53" s="487">
        <f t="shared" si="147"/>
        <v>6.2787151868748392E-4</v>
      </c>
      <c r="AB53" s="487">
        <f t="shared" si="147"/>
        <v>1.6376643132189894E-2</v>
      </c>
      <c r="AC53" s="487">
        <f t="shared" si="147"/>
        <v>1.7284352391585101E-2</v>
      </c>
      <c r="AD53" s="487">
        <f t="shared" si="147"/>
        <v>2.6960376317970436E-3</v>
      </c>
      <c r="AE53" s="487">
        <f t="shared" si="147"/>
        <v>-8.6513115498555448E-3</v>
      </c>
      <c r="AF53" s="487">
        <f t="shared" si="147"/>
        <v>-6.5631475357371682E-3</v>
      </c>
      <c r="AG53" s="487">
        <f t="shared" si="147"/>
        <v>4.347901985919167E-3</v>
      </c>
      <c r="AH53" s="487">
        <f t="shared" si="147"/>
        <v>-1.1460023784175766E-2</v>
      </c>
      <c r="AI53" s="487">
        <f t="shared" si="147"/>
        <v>-3.0606506988332116E-2</v>
      </c>
      <c r="AJ53" s="487">
        <f t="shared" si="147"/>
        <v>-3.4710510735877609E-2</v>
      </c>
      <c r="AK53" s="487">
        <f t="shared" si="147"/>
        <v>-6.7728782587557324E-2</v>
      </c>
      <c r="AL53" s="487">
        <f t="shared" si="147"/>
        <v>-4.1850163928055184E-2</v>
      </c>
      <c r="AM53" s="487">
        <f t="shared" si="147"/>
        <v>-2.7006787633566787E-2</v>
      </c>
      <c r="AN53" s="487">
        <f t="shared" si="147"/>
        <v>-9.9765689586199802E-3</v>
      </c>
      <c r="AO53" s="487">
        <f>+AO28-AO52</f>
        <v>-2.2975086762852648E-2</v>
      </c>
      <c r="AP53" s="487">
        <f t="shared" ref="AP53:AS53" si="148">+AP28-AP52</f>
        <v>-1.1301446489897282E-2</v>
      </c>
      <c r="AQ53" s="487">
        <f t="shared" si="148"/>
        <v>-1.5784332751506813E-2</v>
      </c>
      <c r="AR53" s="487">
        <f t="shared" si="148"/>
        <v>-1.6176664376603478E-2</v>
      </c>
      <c r="AS53" s="487">
        <f t="shared" si="148"/>
        <v>-3.2044953233363205E-2</v>
      </c>
      <c r="AU53" s="488">
        <v>-4.1505219649560554E-2</v>
      </c>
      <c r="BP53" s="487">
        <f t="shared" ref="BP53:BZ53" si="149">+BP28-BP52</f>
        <v>-2.5423427752833017E-2</v>
      </c>
      <c r="BQ53" s="487">
        <f t="shared" si="149"/>
        <v>2.2874972297028728E-2</v>
      </c>
      <c r="BR53" s="487">
        <f t="shared" si="149"/>
        <v>3.0968284921047418E-2</v>
      </c>
      <c r="BS53" s="487">
        <f t="shared" si="149"/>
        <v>4.1812056136667386E-2</v>
      </c>
      <c r="BT53" s="487">
        <f t="shared" si="149"/>
        <v>1.8492242402756709E-3</v>
      </c>
      <c r="BU53" s="487">
        <f t="shared" si="149"/>
        <v>-1.5770495243981775E-2</v>
      </c>
      <c r="BV53" s="487">
        <f t="shared" si="149"/>
        <v>1.9952084366790857E-2</v>
      </c>
      <c r="BW53" s="487">
        <f t="shared" si="149"/>
        <v>8.5713978281840575E-3</v>
      </c>
      <c r="BX53" s="487">
        <f t="shared" si="149"/>
        <v>-3.71883130945454E-2</v>
      </c>
      <c r="BY53" s="487">
        <f t="shared" si="149"/>
        <v>-2.3319083047888101E-2</v>
      </c>
      <c r="BZ53" s="487">
        <f t="shared" si="149"/>
        <v>-1.876288640696977E-2</v>
      </c>
      <c r="CA53" s="487">
        <f>+CA28-CA52</f>
        <v>-2.3714791248532707E-2</v>
      </c>
      <c r="CB53" s="487">
        <f t="shared" ref="CB53" si="150">+CB28-CB52</f>
        <v>-2.0709536284330698E-2</v>
      </c>
      <c r="CC53" s="487">
        <f t="shared" ref="CC53" si="151">+CC28-CC52</f>
        <v>-1.8606671014242848E-2</v>
      </c>
      <c r="CD53" s="487">
        <f t="shared" ref="CD53" si="152">+CD28-CD52</f>
        <v>-1.6496045322775488E-2</v>
      </c>
    </row>
    <row r="54" spans="1:82" s="492" customFormat="1" ht="17.25" customHeight="1">
      <c r="A54" s="489" t="s">
        <v>207</v>
      </c>
      <c r="B54" s="491">
        <f>+VLOOKUP(B$8,'Raw Materials (2)'!$B$69:$F$128,4,FALSE)</f>
        <v>762.4307692307691</v>
      </c>
      <c r="C54" s="491">
        <f>+VLOOKUP(C8,'Raw Materials (2)'!$B$69:$F$128,4,FALSE)</f>
        <v>693.27307692307681</v>
      </c>
      <c r="D54" s="491">
        <f>+VLOOKUP(D8,'Raw Materials (2)'!$B$69:$F$128,4,FALSE)</f>
        <v>671.49076923076905</v>
      </c>
      <c r="E54" s="491">
        <f>+VLOOKUP(E8,'Raw Materials (2)'!$B$69:$F$128,4,FALSE)</f>
        <v>655.10769230769233</v>
      </c>
      <c r="F54" s="491">
        <f>+VLOOKUP(F8,'Raw Materials (2)'!$B$69:$F$128,4,FALSE)</f>
        <v>680.46769230769235</v>
      </c>
      <c r="G54" s="491">
        <f>+VLOOKUP(G8,'Raw Materials (2)'!$B$69:$F$128,4,FALSE)</f>
        <v>782.79153846153838</v>
      </c>
      <c r="H54" s="491">
        <f>+VLOOKUP(H8,'Raw Materials (2)'!$B$69:$F$128,4,FALSE)</f>
        <v>873.24461538461537</v>
      </c>
      <c r="I54" s="491">
        <f>+VLOOKUP(I8,'Raw Materials (2)'!$B$69:$F$128,4,FALSE)</f>
        <v>941.09615384615381</v>
      </c>
      <c r="J54" s="491">
        <f>+VLOOKUP(J8,'Raw Materials (2)'!$B$69:$F$128,4,FALSE)</f>
        <v>1009.0246153846155</v>
      </c>
      <c r="K54" s="491">
        <f>+VLOOKUP(K8,'Raw Materials (2)'!$B$69:$F$128,4,FALSE)</f>
        <v>1044.3807692307691</v>
      </c>
      <c r="L54" s="491">
        <f>+VLOOKUP(L8,'Raw Materials (2)'!$B$69:$F$128,4,FALSE)</f>
        <v>1050</v>
      </c>
      <c r="M54" s="491">
        <f>+VLOOKUP(M8,'Raw Materials (2)'!$B$69:$F$128,4,FALSE)</f>
        <v>1045.166923076923</v>
      </c>
      <c r="N54" s="491">
        <f>+VLOOKUP(N8,'Raw Materials (2)'!$B$69:$F$128,4,FALSE)</f>
        <v>994.79307692307702</v>
      </c>
      <c r="O54" s="491">
        <f>+VLOOKUP(O8,'Raw Materials (2)'!$B$69:$F$128,4,FALSE)</f>
        <v>938.30461538461532</v>
      </c>
      <c r="P54" s="491">
        <f>+VLOOKUP(P8,'Raw Materials (2)'!$B$69:$F$128,4,FALSE)</f>
        <v>815.20461538461541</v>
      </c>
      <c r="Q54" s="491">
        <f>+VLOOKUP(Q8,'Raw Materials (2)'!$B$69:$F$128,4,FALSE)</f>
        <v>694.78266666666661</v>
      </c>
      <c r="R54" s="491">
        <f>+VLOOKUP(R8,'Raw Materials (2)'!$B$69:$F$128,4,FALSE)</f>
        <v>680.00076923076927</v>
      </c>
      <c r="S54" s="491">
        <f>+VLOOKUP(S8,'Raw Materials (2)'!$B$69:$F$128,4,FALSE)</f>
        <v>680.33384615384614</v>
      </c>
      <c r="T54" s="491">
        <f>+VLOOKUP(T8,'Raw Materials (2)'!$B$69:$F$128,4,FALSE)</f>
        <v>680</v>
      </c>
      <c r="U54" s="491">
        <f>+VLOOKUP(U8,'Raw Materials (2)'!$B$69:$F$128,4,FALSE)</f>
        <v>680</v>
      </c>
      <c r="V54" s="491">
        <f>+VLOOKUP(V8,'Raw Materials (2)'!$B$69:$F$128,4,FALSE)</f>
        <v>752.95384615384614</v>
      </c>
      <c r="W54" s="491">
        <f>+VLOOKUP(W8,'Raw Materials (2)'!$B$69:$F$128,4,FALSE)</f>
        <v>991.4484615384614</v>
      </c>
      <c r="X54" s="491">
        <f>+VLOOKUP(X8,'Raw Materials (2)'!$B$69:$F$128,4,FALSE)</f>
        <v>1134.8407692307692</v>
      </c>
      <c r="Y54" s="491">
        <f>+VLOOKUP(Y8,'Raw Materials (2)'!$B$69:$F$128,4,FALSE)</f>
        <v>1140</v>
      </c>
      <c r="Z54" s="491">
        <f>+VLOOKUP(Z8,'Raw Materials (2)'!$B$69:$F$128,4,FALSE)</f>
        <v>1149.2275000000002</v>
      </c>
      <c r="AA54" s="491">
        <f>+VLOOKUP(AA8,'Raw Materials (2)'!$B$69:$F$128,4,FALSE)</f>
        <v>1235.2846153846153</v>
      </c>
      <c r="AB54" s="491">
        <f>+VLOOKUP(AB8,'Raw Materials (2)'!$B$69:$F$128,4,FALSE)</f>
        <v>1364.0414285714287</v>
      </c>
      <c r="AC54" s="491">
        <f>+VLOOKUP(AC8,'Raw Materials (2)'!$B$69:$F$128,4,FALSE)</f>
        <v>1379.9892307692307</v>
      </c>
      <c r="AD54" s="491">
        <f>+VLOOKUP(AD8,'Raw Materials (2)'!$B$69:$F$128,4,FALSE)</f>
        <v>1337.2969230769231</v>
      </c>
      <c r="AE54" s="491">
        <f>+VLOOKUP(AE8,'Raw Materials (2)'!$B$69:$F$128,4,FALSE)</f>
        <v>1096.6100000000001</v>
      </c>
      <c r="AF54" s="491">
        <f>+VLOOKUP(AF8,'Raw Materials (2)'!$B$69:$F$128,4,FALSE)</f>
        <v>834.93999999999994</v>
      </c>
      <c r="AG54" s="491">
        <f>+VLOOKUP(AG8,'Raw Materials (2)'!$B$69:$F$128,4,FALSE)</f>
        <v>908.11461538461538</v>
      </c>
      <c r="AH54" s="491">
        <f>+VLOOKUP(AH8,'Raw Materials (2)'!$B$69:$F$128,4,FALSE)</f>
        <v>1111.7558333333334</v>
      </c>
      <c r="AI54" s="491">
        <f>+VLOOKUP(AI8,'Raw Materials (2)'!$B$69:$F$128,4,FALSE)</f>
        <v>1344.4392857142855</v>
      </c>
      <c r="AJ54" s="491">
        <f>+VLOOKUP(AJ8,'Raw Materials (2)'!$B$69:$F$128,4,FALSE)</f>
        <v>1375.0138461538461</v>
      </c>
      <c r="AK54" s="491">
        <f>+VLOOKUP(AK8,'Raw Materials (2)'!$B$69:$F$128,4,FALSE)</f>
        <v>1106.1423076923077</v>
      </c>
      <c r="AL54" s="491">
        <f>+VLOOKUP(AL8,'Raw Materials (2)'!$B$69:$F$128,4,FALSE)</f>
        <v>1064.2823076923075</v>
      </c>
      <c r="AM54" s="491">
        <f>+VLOOKUP(AM8,'Raw Materials (2)'!$B$69:$F$128,4,FALSE)</f>
        <v>1175.4976923076922</v>
      </c>
      <c r="AN54" s="491">
        <f>+VLOOKUP(AN8,'Raw Materials (2)'!$B$69:$F$128,4,FALSE)</f>
        <v>1034.7623076923078</v>
      </c>
      <c r="AO54" s="491">
        <f>+VLOOKUP(AO8,'Raw Materials (2)'!$B$69:$F$128,4,FALSE)</f>
        <v>1076.8384615384616</v>
      </c>
      <c r="AP54" s="491">
        <f>+VLOOKUP(AP8,'Raw Materials (2)'!$B$69:$F$128,4,FALSE)</f>
        <v>1138.2123899067983</v>
      </c>
      <c r="AQ54" s="491">
        <f>+VLOOKUP(AQ8,'Raw Materials (2)'!$B$69:$F$128,4,FALSE)</f>
        <v>1110.1264701168091</v>
      </c>
      <c r="AR54" s="491">
        <f>+VLOOKUP(AR8,'Raw Materials (2)'!$B$69:$F$128,4,FALSE)</f>
        <v>1110.1264701168091</v>
      </c>
      <c r="AS54" s="491">
        <f>+VLOOKUP(AS8,'Raw Materials (2)'!$B$69:$F$128,4,FALSE)</f>
        <v>1110.1264701168091</v>
      </c>
      <c r="AU54" s="491">
        <v>1178.0599999999997</v>
      </c>
      <c r="AW54" s="490"/>
      <c r="AX54" s="490">
        <f>+AVERAGEIFS('Raw Materials (2)'!$E$9:$E$128,'Raw Materials (2)'!$B$9:$B$128,"&lt;="&amp;AX1,'Raw Materials (2)'!$B$9:$B$128,"&gt;"&amp;AW1)</f>
        <v>418.9325</v>
      </c>
      <c r="AY54" s="490">
        <f>+AVERAGEIFS('Raw Materials (2)'!$E$9:$E$128,'Raw Materials (2)'!$B$9:$B$128,"&lt;="&amp;AY1,'Raw Materials (2)'!$B$9:$B$128,"&gt;"&amp;AX1)</f>
        <v>484.57499999999999</v>
      </c>
      <c r="AZ54" s="490">
        <f>+AVERAGEIFS('Raw Materials (2)'!$E$9:$E$128,'Raw Materials (2)'!$B$9:$B$128,"&lt;="&amp;AZ1,'Raw Materials (2)'!$B$9:$B$128,"&gt;"&amp;AY1)</f>
        <v>654.45249999999999</v>
      </c>
      <c r="BA54" s="490">
        <f>+AVERAGEIFS('Raw Materials (2)'!$E$9:$E$128,'Raw Materials (2)'!$B$9:$B$128,"&lt;="&amp;BA1,'Raw Materials (2)'!$B$9:$B$128,"&gt;"&amp;AZ1)</f>
        <v>460.42</v>
      </c>
      <c r="BB54" s="490">
        <f>+AVERAGEIFS('Raw Materials (2)'!$E$9:$E$128,'Raw Materials (2)'!$B$9:$B$128,"&lt;="&amp;BB1,'Raw Materials (2)'!$B$9:$B$128,"&gt;"&amp;BA1)</f>
        <v>459.22749999999996</v>
      </c>
      <c r="BC54" s="490">
        <f>+AVERAGEIFS('Raw Materials (2)'!$E$9:$E$128,'Raw Materials (2)'!$B$9:$B$128,"&lt;="&amp;BC1,'Raw Materials (2)'!$B$9:$B$128,"&gt;"&amp;BB1)</f>
        <v>508.99250000000001</v>
      </c>
      <c r="BD54" s="490">
        <f>+AVERAGEIFS('Raw Materials (2)'!$E$9:$E$128,'Raw Materials (2)'!$B$9:$B$128,"&lt;="&amp;BD1,'Raw Materials (2)'!$B$9:$B$128,"&gt;"&amp;BC1)</f>
        <v>523.91</v>
      </c>
      <c r="BE54" s="490">
        <f>+AVERAGEIFS('Raw Materials (2)'!$E$9:$E$128,'Raw Materials (2)'!$B$9:$B$128,"&lt;="&amp;BE1,'Raw Materials (2)'!$B$9:$B$128,"&gt;"&amp;BD1)</f>
        <v>587.54</v>
      </c>
      <c r="BF54" s="490">
        <f>+AVERAGEIFS('Raw Materials (2)'!$E$9:$E$128,'Raw Materials (2)'!$B$9:$B$128,"&lt;="&amp;BF1,'Raw Materials (2)'!$B$9:$B$128,"&gt;"&amp;BE1)</f>
        <v>647.16499999999996</v>
      </c>
      <c r="BG54" s="490">
        <f>+AVERAGEIFS('Raw Materials (2)'!$E$9:$E$128,'Raw Materials (2)'!$B$9:$B$128,"&lt;="&amp;BG1,'Raw Materials (2)'!$B$9:$B$128,"&gt;"&amp;BF1)</f>
        <v>714.31499999999994</v>
      </c>
      <c r="BH54" s="490">
        <f>+AVERAGEIFS('Raw Materials (2)'!$E$9:$E$128,'Raw Materials (2)'!$B$9:$B$128,"&lt;="&amp;BH1,'Raw Materials (2)'!$B$9:$B$128,"&gt;"&amp;BG1)</f>
        <v>759.32999999999993</v>
      </c>
      <c r="BI54" s="490">
        <f>+AVERAGEIFS('Raw Materials (2)'!$E$9:$E$128,'Raw Materials (2)'!$B$9:$B$128,"&lt;="&amp;BI1,'Raw Materials (2)'!$B$9:$B$128,"&gt;"&amp;BH1)</f>
        <v>574.45749999999998</v>
      </c>
      <c r="BJ54" s="490">
        <f>+AVERAGEIFS('Raw Materials (2)'!$E$9:$E$128,'Raw Materials (2)'!$B$9:$B$128,"&lt;="&amp;BJ1,'Raw Materials (2)'!$B$9:$B$128,"&gt;"&amp;BI1)</f>
        <v>856.70249999999999</v>
      </c>
      <c r="BK54" s="490">
        <f>+AVERAGEIFS('Raw Materials (2)'!$E$9:$E$128,'Raw Materials (2)'!$B$9:$B$128,"&lt;="&amp;BK1,'Raw Materials (2)'!$B$9:$B$128,"&gt;"&amp;BJ1)</f>
        <v>791.14250000000004</v>
      </c>
      <c r="BL54" s="490">
        <f>+AVERAGEIFS('Raw Materials (2)'!$E$9:$E$128,'Raw Materials (2)'!$B$9:$B$128,"&lt;="&amp;BL1,'Raw Materials (2)'!$B$9:$B$128,"&gt;"&amp;BK1)</f>
        <v>766.11749999999995</v>
      </c>
      <c r="BM54" s="490">
        <f>+AVERAGEIFS('Raw Materials (2)'!$E$9:$E$128,'Raw Materials (2)'!$B$9:$B$128,"&lt;="&amp;BM1,'Raw Materials (2)'!$B$9:$B$128,"&gt;"&amp;BL1)</f>
        <v>790.87348824786318</v>
      </c>
      <c r="BN54" s="490">
        <f>+AVERAGEIFS('Raw Materials (2)'!$E$9:$E$128,'Raw Materials (2)'!$B$9:$B$128,"&lt;="&amp;BN1,'Raw Materials (2)'!$B$9:$B$128,"&gt;"&amp;BM1)</f>
        <v>745.76128891941391</v>
      </c>
      <c r="BO54" s="490">
        <f>+AVERAGEIFS('Raw Materials (2)'!$E$9:$E$128,'Raw Materials (2)'!$B$9:$B$128,"&lt;="&amp;BO1,'Raw Materials (2)'!$B$9:$B$128,"&gt;"&amp;BN1)</f>
        <v>784.38054716117222</v>
      </c>
      <c r="BP54" s="491">
        <f>+AVERAGEIFS('Raw Materials (2)'!$E$9:$E$128,'Raw Materials (2)'!$B$9:$B$128,"&lt;="&amp;BP1,'Raw Materials (2)'!$B$9:$B$128,"&gt;"&amp;BO1)</f>
        <v>695.57557692307682</v>
      </c>
      <c r="BQ54" s="491">
        <f>+AVERAGEIFS('Raw Materials (2)'!$E$9:$E$128,'Raw Materials (2)'!$B$9:$B$128,"&lt;="&amp;BQ1,'Raw Materials (2)'!$B$9:$B$128,"&gt;"&amp;BP1)</f>
        <v>819.4</v>
      </c>
      <c r="BR54" s="491">
        <f>+AVERAGEIFS('Raw Materials (2)'!$E$9:$E$128,'Raw Materials (2)'!$B$9:$B$128,"&lt;="&amp;BR1,'Raw Materials (2)'!$B$9:$B$128,"&gt;"&amp;BQ1)</f>
        <v>1037.1430769230769</v>
      </c>
      <c r="BS54" s="491">
        <f>+AVERAGEIFS('Raw Materials (2)'!$E$9:$E$128,'Raw Materials (2)'!$B$9:$B$128,"&lt;="&amp;BS1,'Raw Materials (2)'!$B$9:$B$128,"&gt;"&amp;BR1)</f>
        <v>860.77124358974356</v>
      </c>
      <c r="BT54" s="491">
        <f>+AVERAGEIFS('Raw Materials (2)'!$E$9:$E$128,'Raw Materials (2)'!$B$9:$B$128,"&lt;="&amp;BT1,'Raw Materials (2)'!$B$9:$B$128,"&gt;"&amp;BS1)</f>
        <v>680.08365384615388</v>
      </c>
      <c r="BU54" s="491">
        <f>+AVERAGEIFS('Raw Materials (2)'!$E$9:$E$128,'Raw Materials (2)'!$B$9:$B$128,"&lt;="&amp;BU1,'Raw Materials (2)'!$B$9:$B$128,"&gt;"&amp;BT1)</f>
        <v>1004.8107692307692</v>
      </c>
      <c r="BV54" s="491">
        <f>+AVERAGEIFS('Raw Materials (2)'!$E$9:$E$128,'Raw Materials (2)'!$B$9:$B$128,"&lt;="&amp;BV1,'Raw Materials (2)'!$B$9:$B$128,"&gt;"&amp;BU1)</f>
        <v>1282.1356936813188</v>
      </c>
      <c r="BW54" s="491">
        <f>+AVERAGEIFS('Raw Materials (2)'!$E$9:$E$128,'Raw Materials (2)'!$B$9:$B$128,"&lt;="&amp;BW1,'Raw Materials (2)'!$B$9:$B$128,"&gt;"&amp;BV1)</f>
        <v>1044.2403846153848</v>
      </c>
      <c r="BX54" s="491">
        <f>+AVERAGEIFS('Raw Materials (2)'!$E$9:$E$128,'Raw Materials (2)'!$B$9:$B$128,"&lt;="&amp;BX1,'Raw Materials (2)'!$B$9:$B$128,"&gt;"&amp;BW1)</f>
        <v>1234.337818223443</v>
      </c>
      <c r="BY54" s="491">
        <f>+AVERAGEIFS('Raw Materials (2)'!$E$9:$E$128,'Raw Materials (2)'!$B$9:$B$128,"&lt;="&amp;BY1,'Raw Materials (2)'!$B$9:$B$128,"&gt;"&amp;BX1)</f>
        <v>1087.8451923076923</v>
      </c>
      <c r="BZ54" s="491">
        <f>+AVERAGEIFS('Raw Materials (2)'!$E$9:$E$128,'Raw Materials (2)'!$B$9:$B$128,"&lt;="&amp;BZ1,'Raw Materials (2)'!$B$9:$B$128,"&gt;"&amp;BY1)</f>
        <v>1117.1479500643065</v>
      </c>
      <c r="CA54" s="637">
        <f>+BZ54</f>
        <v>1117.1479500643065</v>
      </c>
      <c r="CB54" s="637">
        <f>+CA54</f>
        <v>1117.1479500643065</v>
      </c>
      <c r="CC54" s="637">
        <f>+CB54</f>
        <v>1117.1479500643065</v>
      </c>
      <c r="CD54" s="637">
        <f>+CC54</f>
        <v>1117.1479500643065</v>
      </c>
    </row>
    <row r="55" spans="1:82" s="495" customFormat="1" ht="17.25" customHeight="1">
      <c r="A55" s="494" t="s">
        <v>208</v>
      </c>
      <c r="F55" s="496">
        <f>F54/B54-1</f>
        <v>-0.10750232051333775</v>
      </c>
      <c r="G55" s="496">
        <f t="shared" ref="G55:AG55" si="153">G54/C54-1</f>
        <v>0.12912438765943057</v>
      </c>
      <c r="H55" s="496">
        <f t="shared" si="153"/>
        <v>0.30045661891222553</v>
      </c>
      <c r="I55" s="496">
        <f t="shared" si="153"/>
        <v>0.43655182941148829</v>
      </c>
      <c r="J55" s="496">
        <f t="shared" si="153"/>
        <v>0.48283985675010865</v>
      </c>
      <c r="K55" s="496">
        <f t="shared" si="153"/>
        <v>0.33417483188863528</v>
      </c>
      <c r="L55" s="496">
        <f t="shared" si="153"/>
        <v>0.20241222390765468</v>
      </c>
      <c r="M55" s="496">
        <f t="shared" si="153"/>
        <v>0.11058462921715662</v>
      </c>
      <c r="N55" s="496">
        <f t="shared" si="153"/>
        <v>-1.4104253002899969E-2</v>
      </c>
      <c r="O55" s="496">
        <f t="shared" si="153"/>
        <v>-0.10156846714468271</v>
      </c>
      <c r="P55" s="496">
        <f t="shared" si="153"/>
        <v>-0.22361465201465203</v>
      </c>
      <c r="Q55" s="496">
        <f t="shared" si="153"/>
        <v>-0.33524238920491412</v>
      </c>
      <c r="R55" s="496">
        <f t="shared" si="153"/>
        <v>-0.31643998635974546</v>
      </c>
      <c r="S55" s="496">
        <f t="shared" si="153"/>
        <v>-0.27493285762537334</v>
      </c>
      <c r="T55" s="496">
        <f t="shared" si="153"/>
        <v>-0.16585359409530032</v>
      </c>
      <c r="U55" s="496">
        <f t="shared" si="153"/>
        <v>-2.1276677407035649E-2</v>
      </c>
      <c r="V55" s="496">
        <f t="shared" si="153"/>
        <v>0.10728381528980169</v>
      </c>
      <c r="W55" s="496">
        <f t="shared" si="153"/>
        <v>0.45729698315532863</v>
      </c>
      <c r="X55" s="496">
        <f t="shared" si="153"/>
        <v>0.66888348416289589</v>
      </c>
      <c r="Y55" s="496">
        <f t="shared" si="153"/>
        <v>0.67647058823529416</v>
      </c>
      <c r="Z55" s="496">
        <f t="shared" si="153"/>
        <v>0.52629209063789828</v>
      </c>
      <c r="AA55" s="496">
        <f t="shared" si="153"/>
        <v>0.24593931334341446</v>
      </c>
      <c r="AB55" s="496">
        <f t="shared" si="153"/>
        <v>0.20196724118046872</v>
      </c>
      <c r="AC55" s="496">
        <f t="shared" si="153"/>
        <v>0.21051686909581635</v>
      </c>
      <c r="AD55" s="496">
        <f t="shared" si="153"/>
        <v>0.16364855790252397</v>
      </c>
      <c r="AE55" s="496">
        <f t="shared" si="153"/>
        <v>-0.11226126647860646</v>
      </c>
      <c r="AF55" s="496">
        <f t="shared" si="153"/>
        <v>-0.38789249174459517</v>
      </c>
      <c r="AG55" s="496">
        <f t="shared" si="153"/>
        <v>-0.34194079552460277</v>
      </c>
      <c r="AH55" s="496">
        <f t="shared" ref="AH55:AO55" si="154">AH54/AD54-1</f>
        <v>-0.1686544594932986</v>
      </c>
      <c r="AI55" s="496">
        <f t="shared" si="154"/>
        <v>0.22599582870326307</v>
      </c>
      <c r="AJ55" s="496">
        <f t="shared" si="154"/>
        <v>0.64684150496304671</v>
      </c>
      <c r="AK55" s="496">
        <f t="shared" si="154"/>
        <v>0.21806464619427057</v>
      </c>
      <c r="AL55" s="496">
        <f t="shared" si="154"/>
        <v>-4.2701395592130931E-2</v>
      </c>
      <c r="AM55" s="496">
        <f t="shared" si="154"/>
        <v>-0.12565951858274993</v>
      </c>
      <c r="AN55" s="496">
        <f t="shared" si="154"/>
        <v>-0.24745317249952159</v>
      </c>
      <c r="AO55" s="496">
        <f t="shared" si="154"/>
        <v>-2.6491931417921499E-2</v>
      </c>
      <c r="AP55" s="497">
        <f t="shared" ref="AP55" si="155">AP54/AL54-1</f>
        <v>6.9464729123228652E-2</v>
      </c>
      <c r="AQ55" s="497">
        <f t="shared" ref="AQ55" si="156">AQ54/AM54-1</f>
        <v>-5.561152745655229E-2</v>
      </c>
      <c r="AR55" s="497">
        <f t="shared" ref="AR55" si="157">AR54/AN54-1</f>
        <v>7.2832342137177264E-2</v>
      </c>
      <c r="AS55" s="497">
        <f t="shared" ref="AS55" si="158">AS54/AO54-1</f>
        <v>3.0912722536664772E-2</v>
      </c>
      <c r="AU55" s="497">
        <v>6.5016672635667128E-2</v>
      </c>
      <c r="AX55" s="497"/>
      <c r="AY55" s="497">
        <f t="shared" ref="AY55:BO55" si="159">AY54/AX54-1</f>
        <v>0.15668992021387695</v>
      </c>
      <c r="AZ55" s="497">
        <f t="shared" si="159"/>
        <v>0.35057008718980542</v>
      </c>
      <c r="BA55" s="497">
        <f t="shared" si="159"/>
        <v>-0.29648064603619051</v>
      </c>
      <c r="BB55" s="497">
        <f t="shared" si="159"/>
        <v>-2.5900264975458054E-3</v>
      </c>
      <c r="BC55" s="497">
        <f t="shared" si="159"/>
        <v>0.10836676810513324</v>
      </c>
      <c r="BD55" s="497">
        <f t="shared" si="159"/>
        <v>2.930789746410789E-2</v>
      </c>
      <c r="BE55" s="497">
        <f t="shared" si="159"/>
        <v>0.12145215781336494</v>
      </c>
      <c r="BF55" s="497">
        <f t="shared" si="159"/>
        <v>0.10148245225856956</v>
      </c>
      <c r="BG55" s="497">
        <f t="shared" si="159"/>
        <v>0.10376024661407834</v>
      </c>
      <c r="BH55" s="497">
        <f t="shared" si="159"/>
        <v>6.3018416244933873E-2</v>
      </c>
      <c r="BI55" s="497">
        <f t="shared" si="159"/>
        <v>-0.24346792567131548</v>
      </c>
      <c r="BJ55" s="497">
        <f t="shared" si="159"/>
        <v>0.49132442347780292</v>
      </c>
      <c r="BK55" s="497">
        <f t="shared" si="159"/>
        <v>-7.6525981889862482E-2</v>
      </c>
      <c r="BL55" s="497">
        <f t="shared" si="159"/>
        <v>-3.163146967834507E-2</v>
      </c>
      <c r="BM55" s="497">
        <f t="shared" si="159"/>
        <v>3.2313565801411981E-2</v>
      </c>
      <c r="BN55" s="497">
        <f t="shared" si="159"/>
        <v>-5.7040980635718164E-2</v>
      </c>
      <c r="BO55" s="497">
        <f t="shared" si="159"/>
        <v>5.1785013268409896E-2</v>
      </c>
      <c r="BP55" s="497">
        <f t="shared" ref="BP55:BW55" si="160">BP54/BO54-1</f>
        <v>-0.11321669125974387</v>
      </c>
      <c r="BQ55" s="497">
        <f t="shared" si="160"/>
        <v>0.17801720932277187</v>
      </c>
      <c r="BR55" s="497">
        <f t="shared" si="160"/>
        <v>0.26573477779238086</v>
      </c>
      <c r="BS55" s="497">
        <f t="shared" si="160"/>
        <v>-0.1700554506487002</v>
      </c>
      <c r="BT55" s="497">
        <f t="shared" si="160"/>
        <v>-0.20991359909986507</v>
      </c>
      <c r="BU55" s="497">
        <f t="shared" si="160"/>
        <v>0.47748113566345762</v>
      </c>
      <c r="BV55" s="497">
        <f t="shared" si="160"/>
        <v>0.27599716577764699</v>
      </c>
      <c r="BW55" s="497">
        <f t="shared" si="160"/>
        <v>-0.185546124515791</v>
      </c>
      <c r="BX55" s="497">
        <f t="shared" ref="BX55:CD55" si="161">BX54/BW54-1</f>
        <v>0.18204374817209845</v>
      </c>
      <c r="BY55" s="497">
        <f>BY54/BX54-1</f>
        <v>-0.11868114526912454</v>
      </c>
      <c r="BZ55" s="497">
        <f>BZ54/BY54-1</f>
        <v>2.6936514463471672E-2</v>
      </c>
      <c r="CA55" s="497">
        <f t="shared" si="161"/>
        <v>0</v>
      </c>
      <c r="CB55" s="497">
        <f t="shared" si="161"/>
        <v>0</v>
      </c>
      <c r="CC55" s="497">
        <f t="shared" si="161"/>
        <v>0</v>
      </c>
      <c r="CD55" s="497">
        <f t="shared" si="161"/>
        <v>0</v>
      </c>
    </row>
    <row r="56" spans="1:82" s="492" customFormat="1" ht="17.25" customHeight="1">
      <c r="A56" s="489" t="s">
        <v>209</v>
      </c>
      <c r="B56" s="498">
        <f>+B54*B$3</f>
        <v>13744.491963076922</v>
      </c>
      <c r="C56" s="498">
        <f t="shared" ref="C56:AF56" si="162">+B54*C3</f>
        <v>13805.562667692304</v>
      </c>
      <c r="D56" s="498">
        <f t="shared" si="162"/>
        <v>13007.60543307692</v>
      </c>
      <c r="E56" s="498">
        <f t="shared" si="162"/>
        <v>13325.801464461534</v>
      </c>
      <c r="F56" s="498">
        <f t="shared" si="162"/>
        <v>13298.306191384616</v>
      </c>
      <c r="G56" s="498">
        <f t="shared" si="162"/>
        <v>12621.891584151488</v>
      </c>
      <c r="H56" s="498">
        <f t="shared" si="162"/>
        <v>13948.47812321894</v>
      </c>
      <c r="I56" s="498">
        <f t="shared" si="162"/>
        <v>16579.772908991719</v>
      </c>
      <c r="J56" s="498">
        <f t="shared" si="162"/>
        <v>17615.751016256003</v>
      </c>
      <c r="K56" s="498">
        <f t="shared" si="162"/>
        <v>19590.678611360945</v>
      </c>
      <c r="L56" s="498">
        <f t="shared" si="162"/>
        <v>19782.821204733726</v>
      </c>
      <c r="M56" s="498">
        <f t="shared" si="162"/>
        <v>20829.144318181821</v>
      </c>
      <c r="N56" s="498">
        <f t="shared" si="162"/>
        <v>20067.719341171876</v>
      </c>
      <c r="O56" s="498">
        <f t="shared" si="162"/>
        <v>19007.909238</v>
      </c>
      <c r="P56" s="498">
        <f t="shared" si="162"/>
        <v>18238.320129990676</v>
      </c>
      <c r="Q56" s="498">
        <f t="shared" si="162"/>
        <v>15688.437430568762</v>
      </c>
      <c r="R56" s="498">
        <f t="shared" si="162"/>
        <v>13895.743120631791</v>
      </c>
      <c r="S56" s="498">
        <f t="shared" si="162"/>
        <v>15855.260951179884</v>
      </c>
      <c r="T56" s="498">
        <f t="shared" si="162"/>
        <v>15023.575238578087</v>
      </c>
      <c r="U56" s="498">
        <f t="shared" si="162"/>
        <v>13963.744363636362</v>
      </c>
      <c r="V56" s="498">
        <f t="shared" si="162"/>
        <v>13831.401875000005</v>
      </c>
      <c r="W56" s="498">
        <f t="shared" si="162"/>
        <v>15074.490467502961</v>
      </c>
      <c r="X56" s="498">
        <f t="shared" si="162"/>
        <v>19861.927381142195</v>
      </c>
      <c r="Y56" s="498">
        <f t="shared" si="162"/>
        <v>23545.760533329831</v>
      </c>
      <c r="Z56" s="498">
        <f t="shared" si="162"/>
        <v>23372.044874999981</v>
      </c>
      <c r="AA56" s="498">
        <f t="shared" si="162"/>
        <v>23019.094010607692</v>
      </c>
      <c r="AB56" s="498">
        <f t="shared" si="162"/>
        <v>24994.434471608398</v>
      </c>
      <c r="AC56" s="498">
        <f t="shared" si="162"/>
        <v>26830.743166081324</v>
      </c>
      <c r="AD56" s="498">
        <f t="shared" si="162"/>
        <v>25739.525163342016</v>
      </c>
      <c r="AE56" s="498">
        <f t="shared" si="162"/>
        <v>23634.894104669824</v>
      </c>
      <c r="AF56" s="498">
        <f t="shared" si="162"/>
        <v>18719.53422796923</v>
      </c>
      <c r="AG56" s="498">
        <f>+AF54*AG3</f>
        <v>14655.879084184618</v>
      </c>
      <c r="AH56" s="498">
        <f>+AG54*AH$3</f>
        <v>15417.186691144232</v>
      </c>
      <c r="AI56" s="499">
        <f>+AH54*AI$3</f>
        <v>19174.105647601278</v>
      </c>
      <c r="AJ56" s="499">
        <f>+AH54*AJ3</f>
        <v>21064.705606253792</v>
      </c>
      <c r="AK56" s="499">
        <f>+AK54*AK3</f>
        <v>22216.217972400926</v>
      </c>
      <c r="AL56" s="499">
        <f>+AL54*(AM$3*0.5+20.7*0.5)</f>
        <v>21388.260979239047</v>
      </c>
      <c r="AM56" s="499">
        <f>+AM54*(AN$3*0.5+20.7*0.5)</f>
        <v>23115.172742006409</v>
      </c>
      <c r="AN56" s="499">
        <f>+AN54*(AO$3*0.5+20.7*0.5)</f>
        <v>20178.786879146857</v>
      </c>
      <c r="AO56" s="499">
        <f>+AO54*(AP$3*0.5+20.7*0.5)</f>
        <v>20818.033399615382</v>
      </c>
      <c r="AP56" s="498">
        <f t="shared" ref="AP56:AS56" si="163">+AO54*AP$3</f>
        <v>19345.510645384617</v>
      </c>
      <c r="AQ56" s="498">
        <f t="shared" si="163"/>
        <v>20414.21751596297</v>
      </c>
      <c r="AR56" s="498">
        <f t="shared" si="163"/>
        <v>19911.032383461235</v>
      </c>
      <c r="AS56" s="498">
        <f t="shared" si="163"/>
        <v>20018.190853927939</v>
      </c>
      <c r="AU56" s="499">
        <v>21560.597088727274</v>
      </c>
      <c r="AX56" s="498">
        <f t="shared" ref="AX56:BW56" si="164">+AX54*AX3</f>
        <v>3760.3381199999994</v>
      </c>
      <c r="AY56" s="498">
        <f t="shared" si="164"/>
        <v>4700.862075</v>
      </c>
      <c r="AZ56" s="498">
        <f t="shared" si="164"/>
        <v>6259.0200968750005</v>
      </c>
      <c r="BA56" s="498">
        <f t="shared" si="164"/>
        <v>4323.3438000000006</v>
      </c>
      <c r="BB56" s="498">
        <f t="shared" si="164"/>
        <v>4483.7825031249995</v>
      </c>
      <c r="BC56" s="498">
        <f t="shared" si="164"/>
        <v>5494.5740375000005</v>
      </c>
      <c r="BD56" s="498">
        <f t="shared" si="164"/>
        <v>5857.3137999999999</v>
      </c>
      <c r="BE56" s="498">
        <f t="shared" si="164"/>
        <v>6396.8417499999996</v>
      </c>
      <c r="BF56" s="498">
        <f t="shared" si="164"/>
        <v>6937.0587097499993</v>
      </c>
      <c r="BG56" s="498">
        <f t="shared" si="164"/>
        <v>7751.0677807499997</v>
      </c>
      <c r="BH56" s="498">
        <f t="shared" si="164"/>
        <v>9329.1663464999983</v>
      </c>
      <c r="BI56" s="498">
        <f t="shared" si="164"/>
        <v>7687.5913251249995</v>
      </c>
      <c r="BJ56" s="498">
        <f t="shared" si="164"/>
        <v>10893.57197925</v>
      </c>
      <c r="BK56" s="498">
        <f t="shared" si="164"/>
        <v>10393.911493625001</v>
      </c>
      <c r="BL56" s="498">
        <f t="shared" si="164"/>
        <v>10289.264471999999</v>
      </c>
      <c r="BM56" s="498">
        <f t="shared" si="164"/>
        <v>10289.461800476762</v>
      </c>
      <c r="BN56" s="498">
        <f t="shared" si="164"/>
        <v>10381.966631433836</v>
      </c>
      <c r="BO56" s="498">
        <f t="shared" si="164"/>
        <v>12532.322535185554</v>
      </c>
      <c r="BP56" s="498">
        <f t="shared" si="164"/>
        <v>13193.225418951921</v>
      </c>
      <c r="BQ56" s="498">
        <f t="shared" si="164"/>
        <v>16546.226139999999</v>
      </c>
      <c r="BR56" s="498">
        <f t="shared" si="164"/>
        <v>20384.736033999998</v>
      </c>
      <c r="BS56" s="498">
        <f t="shared" si="164"/>
        <v>16602.943093418591</v>
      </c>
      <c r="BT56" s="498">
        <f t="shared" si="164"/>
        <v>13207.496591153847</v>
      </c>
      <c r="BU56" s="498">
        <f t="shared" si="164"/>
        <v>20319.132653769229</v>
      </c>
      <c r="BV56" s="498">
        <f t="shared" si="164"/>
        <v>25661.497161538806</v>
      </c>
      <c r="BW56" s="498">
        <f t="shared" si="164"/>
        <v>19042.715441826927</v>
      </c>
      <c r="BX56" s="450">
        <f>+AVERAGEIFS($A56:$AS56,$A$1:$AS$1,"&lt;="&amp;BX$1,$A$1:$AS$1,"&gt;"&amp;BW$1)</f>
        <v>19468.053979350057</v>
      </c>
      <c r="BY56" s="450">
        <f>+AVERAGEIFS($A56:$AS56,$A$1:$AS$1,"&lt;="&amp;BY$1,$A$1:$AS$1,"&gt;"&amp;BX$1)</f>
        <v>21375.063500001925</v>
      </c>
      <c r="BZ56" s="450">
        <f>+AVERAGEIFS($A56:$AS56,$A$1:$AS$1,"&lt;="&amp;BZ$1,$A$1:$AS$1,"&gt;"&amp;BY$1)</f>
        <v>19922.237849684192</v>
      </c>
      <c r="CA56" s="498">
        <f>+CA54*CA3</f>
        <v>20415.783380652862</v>
      </c>
      <c r="CB56" s="498">
        <f>+CB54*CB3</f>
        <v>20716.015489191868</v>
      </c>
      <c r="CC56" s="498">
        <f>+CC54*CC3</f>
        <v>21020.662775797628</v>
      </c>
      <c r="CD56" s="498">
        <f>+CD54*CD3</f>
        <v>21329.790169559357</v>
      </c>
    </row>
    <row r="57" spans="1:82" s="495" customFormat="1" ht="17.25" customHeight="1">
      <c r="A57" s="494" t="s">
        <v>51</v>
      </c>
      <c r="F57" s="496">
        <f>F56/B56-1</f>
        <v>-3.2462878430933317E-2</v>
      </c>
      <c r="G57" s="496">
        <f t="shared" ref="G57:AJ57" si="165">G56/C56-1</f>
        <v>-8.5738706348480465E-2</v>
      </c>
      <c r="H57" s="496">
        <f t="shared" si="165"/>
        <v>7.2332505393305047E-2</v>
      </c>
      <c r="I57" s="496">
        <f t="shared" si="165"/>
        <v>0.24418579649473049</v>
      </c>
      <c r="J57" s="496">
        <f t="shared" si="165"/>
        <v>0.3246612585645281</v>
      </c>
      <c r="K57" s="496">
        <f t="shared" si="165"/>
        <v>0.55211906874241601</v>
      </c>
      <c r="L57" s="496">
        <f>L56/H56-1</f>
        <v>0.41827811105806667</v>
      </c>
      <c r="M57" s="496">
        <f t="shared" si="165"/>
        <v>0.25629852908814788</v>
      </c>
      <c r="N57" s="496">
        <f t="shared" si="165"/>
        <v>0.13919181320473761</v>
      </c>
      <c r="O57" s="496">
        <f t="shared" si="165"/>
        <v>-2.974727853597614E-2</v>
      </c>
      <c r="P57" s="496">
        <f t="shared" si="165"/>
        <v>-7.8072842025862066E-2</v>
      </c>
      <c r="Q57" s="496">
        <f t="shared" si="165"/>
        <v>-0.24680355606954629</v>
      </c>
      <c r="R57" s="496">
        <f t="shared" si="165"/>
        <v>-0.30755743169466043</v>
      </c>
      <c r="S57" s="496">
        <f t="shared" si="165"/>
        <v>-0.16585981379358883</v>
      </c>
      <c r="T57" s="496">
        <f t="shared" si="165"/>
        <v>-0.17626321220923935</v>
      </c>
      <c r="U57" s="496">
        <f t="shared" si="165"/>
        <v>-0.10993402463216972</v>
      </c>
      <c r="V57" s="496">
        <f t="shared" si="165"/>
        <v>-4.6302846183342572E-3</v>
      </c>
      <c r="W57" s="496">
        <f t="shared" si="165"/>
        <v>-4.9243622421668243E-2</v>
      </c>
      <c r="X57" s="496">
        <f t="shared" si="165"/>
        <v>0.32205064811337381</v>
      </c>
      <c r="Y57" s="496">
        <f t="shared" si="165"/>
        <v>0.68620678810523361</v>
      </c>
      <c r="Z57" s="496">
        <f>Z56/V56-1</f>
        <v>0.68978134582615991</v>
      </c>
      <c r="AA57" s="496">
        <f t="shared" si="165"/>
        <v>0.52702302344688978</v>
      </c>
      <c r="AB57" s="496">
        <f t="shared" si="165"/>
        <v>0.25840931708063919</v>
      </c>
      <c r="AC57" s="496">
        <f t="shared" si="165"/>
        <v>0.13951482383002611</v>
      </c>
      <c r="AD57" s="496">
        <f t="shared" si="165"/>
        <v>0.10129538519217984</v>
      </c>
      <c r="AE57" s="496">
        <f t="shared" si="165"/>
        <v>2.6751708550230457E-2</v>
      </c>
      <c r="AF57" s="496">
        <f t="shared" si="165"/>
        <v>-0.25105189920447823</v>
      </c>
      <c r="AG57" s="496">
        <f t="shared" si="165"/>
        <v>-0.45376544386172013</v>
      </c>
      <c r="AH57" s="496">
        <f t="shared" si="165"/>
        <v>-0.40103064864998983</v>
      </c>
      <c r="AI57" s="496">
        <f t="shared" si="165"/>
        <v>-0.1887373997663554</v>
      </c>
      <c r="AJ57" s="496">
        <f t="shared" si="165"/>
        <v>0.12527936591395505</v>
      </c>
      <c r="AK57" s="496">
        <f>AK56/AG56-1</f>
        <v>0.51585707310964257</v>
      </c>
      <c r="AL57" s="496">
        <f>AL56/AH56-1</f>
        <v>0.38729986266071825</v>
      </c>
      <c r="AM57" s="496">
        <f>AM56/AI56-1</f>
        <v>0.20554111711062606</v>
      </c>
      <c r="AN57" s="496">
        <f>AN56/AJ56-1</f>
        <v>-4.2057019151690356E-2</v>
      </c>
      <c r="AO57" s="496">
        <f>AO56/AK56-1</f>
        <v>-6.293531034501465E-2</v>
      </c>
      <c r="AP57" s="497">
        <f t="shared" ref="AP57:AS57" si="166">AP56/AL56-1</f>
        <v>-9.5508014225058724E-2</v>
      </c>
      <c r="AQ57" s="497">
        <f t="shared" si="166"/>
        <v>-0.11684771972891583</v>
      </c>
      <c r="AR57" s="497">
        <f t="shared" si="166"/>
        <v>-1.3269107666840196E-2</v>
      </c>
      <c r="AS57" s="497">
        <f t="shared" si="166"/>
        <v>-3.8420658202144131E-2</v>
      </c>
      <c r="AU57" s="497">
        <v>-2.9510913355645152E-2</v>
      </c>
      <c r="AX57" s="497"/>
      <c r="AY57" s="497">
        <f t="shared" ref="AY57:BX57" si="167">AY56/AX56-1</f>
        <v>0.25011685784256033</v>
      </c>
      <c r="AZ57" s="497">
        <f t="shared" si="167"/>
        <v>0.3314621865128855</v>
      </c>
      <c r="BA57" s="497">
        <f t="shared" si="167"/>
        <v>-0.30926187596704524</v>
      </c>
      <c r="BB57" s="497">
        <f t="shared" si="167"/>
        <v>3.7109864620296751E-2</v>
      </c>
      <c r="BC57" s="497">
        <f t="shared" si="167"/>
        <v>0.22543277549045326</v>
      </c>
      <c r="BD57" s="497">
        <f t="shared" si="167"/>
        <v>6.6017813214333199E-2</v>
      </c>
      <c r="BE57" s="497">
        <f t="shared" si="167"/>
        <v>9.2111839731038536E-2</v>
      </c>
      <c r="BF57" s="497">
        <f t="shared" si="167"/>
        <v>8.4450574340063866E-2</v>
      </c>
      <c r="BG57" s="497">
        <f t="shared" si="167"/>
        <v>0.1173421049263883</v>
      </c>
      <c r="BH57" s="497">
        <f t="shared" si="167"/>
        <v>0.20359757008824664</v>
      </c>
      <c r="BI57" s="497">
        <f t="shared" si="167"/>
        <v>-0.17596159832554226</v>
      </c>
      <c r="BJ57" s="497">
        <f t="shared" si="167"/>
        <v>0.41703317964458408</v>
      </c>
      <c r="BK57" s="497">
        <f t="shared" si="167"/>
        <v>-4.586746079034032E-2</v>
      </c>
      <c r="BL57" s="497">
        <f t="shared" si="167"/>
        <v>-1.0068107823429706E-2</v>
      </c>
      <c r="BM57" s="497">
        <f t="shared" si="167"/>
        <v>1.9178093565441756E-5</v>
      </c>
      <c r="BN57" s="497">
        <f t="shared" si="167"/>
        <v>8.9902497089582312E-3</v>
      </c>
      <c r="BO57" s="497">
        <f t="shared" si="167"/>
        <v>0.20712413939388052</v>
      </c>
      <c r="BP57" s="497">
        <f t="shared" si="167"/>
        <v>5.2735866150174893E-2</v>
      </c>
      <c r="BQ57" s="497">
        <f t="shared" si="167"/>
        <v>0.25414564024893638</v>
      </c>
      <c r="BR57" s="497">
        <f t="shared" si="167"/>
        <v>0.23198703205926319</v>
      </c>
      <c r="BS57" s="497">
        <f t="shared" si="167"/>
        <v>-0.18552081980721746</v>
      </c>
      <c r="BT57" s="497">
        <f t="shared" si="167"/>
        <v>-0.20450871168803197</v>
      </c>
      <c r="BU57" s="497">
        <f t="shared" si="167"/>
        <v>0.53845450676690931</v>
      </c>
      <c r="BV57" s="497">
        <f t="shared" si="167"/>
        <v>0.26292286185643654</v>
      </c>
      <c r="BW57" s="497">
        <f t="shared" si="167"/>
        <v>-0.25792656126206237</v>
      </c>
      <c r="BX57" s="497">
        <f t="shared" si="167"/>
        <v>2.2336023390282067E-2</v>
      </c>
      <c r="BY57" s="497">
        <f t="shared" ref="BY57:CD57" si="168">BY56/BX56-1</f>
        <v>9.7955836914909389E-2</v>
      </c>
      <c r="BZ57" s="497">
        <f t="shared" si="168"/>
        <v>-6.7968249559473892E-2</v>
      </c>
      <c r="CA57" s="497">
        <f t="shared" si="168"/>
        <v>2.4773598964761501E-2</v>
      </c>
      <c r="CB57" s="497">
        <f t="shared" si="168"/>
        <v>1.4705882352940902E-2</v>
      </c>
      <c r="CC57" s="497">
        <f t="shared" si="168"/>
        <v>1.4705882352940902E-2</v>
      </c>
      <c r="CD57" s="497">
        <f t="shared" si="168"/>
        <v>1.4705882352941124E-2</v>
      </c>
    </row>
    <row r="58" spans="1:82" s="501" customFormat="1" ht="17.25" customHeight="1">
      <c r="A58" s="500"/>
      <c r="BQ58" s="497"/>
      <c r="BR58" s="497"/>
      <c r="BS58" s="497"/>
      <c r="BT58" s="497"/>
      <c r="BU58" s="497"/>
    </row>
    <row r="59" spans="1:82" s="492" customFormat="1" ht="17.25" customHeight="1">
      <c r="A59" s="489" t="s">
        <v>210</v>
      </c>
      <c r="B59" s="490">
        <f>+VLOOKUP(B$8,'Raw Materials (2)'!$B$69:$L$128,11,FALSE)</f>
        <v>35.318153846153841</v>
      </c>
      <c r="C59" s="490">
        <f>+VLOOKUP(C$8,'Raw Materials (2)'!$B$69:$L$128,11,FALSE)</f>
        <v>47.027076923076905</v>
      </c>
      <c r="D59" s="490">
        <f>+VLOOKUP(D$8,'Raw Materials (2)'!$B$69:$L$128,11,FALSE)</f>
        <v>46.987575757575755</v>
      </c>
      <c r="E59" s="490">
        <f>+VLOOKUP(E$8,'Raw Materials (2)'!$B$69:$L$128,11,FALSE)</f>
        <v>51.127230769230756</v>
      </c>
      <c r="F59" s="490">
        <f>+VLOOKUP(F$8,'Raw Materials (2)'!$B$69:$L$128,11,FALSE)</f>
        <v>54.60830769230769</v>
      </c>
      <c r="G59" s="490">
        <f>+VLOOKUP(G$8,'Raw Materials (2)'!$B$69:$L$128,11,FALSE)</f>
        <v>50.870923076923063</v>
      </c>
      <c r="H59" s="490">
        <f>+VLOOKUP(H$8,'Raw Materials (2)'!$B$69:$L$128,11,FALSE)</f>
        <v>52.168307692307685</v>
      </c>
      <c r="I59" s="490">
        <f>+VLOOKUP(I$8,'Raw Materials (2)'!$B$69:$L$128,11,FALSE)</f>
        <v>61.514153846153853</v>
      </c>
      <c r="J59" s="490">
        <f>+VLOOKUP(J$8,'Raw Materials (2)'!$B$69:$L$128,11,FALSE)</f>
        <v>67.270615384615368</v>
      </c>
      <c r="K59" s="490">
        <f>+VLOOKUP(K$8,'Raw Materials (2)'!$B$69:$L$128,11,FALSE)</f>
        <v>74.968153846153868</v>
      </c>
      <c r="L59" s="490">
        <f>+VLOOKUP(L$8,'Raw Materials (2)'!$B$69:$L$128,11,FALSE)</f>
        <v>75.838307692307708</v>
      </c>
      <c r="M59" s="490">
        <f>+VLOOKUP(M$8,'Raw Materials (2)'!$B$69:$L$128,11,FALSE)</f>
        <v>68.323030303030322</v>
      </c>
      <c r="N59" s="490">
        <f>+VLOOKUP(N$8,'Raw Materials (2)'!$B$69:$L$128,11,FALSE)</f>
        <v>63.676718750000013</v>
      </c>
      <c r="O59" s="490">
        <f>+VLOOKUP(O$8,'Raw Materials (2)'!$B$69:$L$128,11,FALSE)</f>
        <v>68.521538461538441</v>
      </c>
      <c r="P59" s="490">
        <f>+VLOOKUP(P$8,'Raw Materials (2)'!$B$69:$L$128,11,FALSE)</f>
        <v>62.030454545454539</v>
      </c>
      <c r="Q59" s="490">
        <f>+VLOOKUP(Q$8,'Raw Materials (2)'!$B$69:$L$128,11,FALSE)</f>
        <v>62.489242424242398</v>
      </c>
      <c r="R59" s="490">
        <f>+VLOOKUP(R$8,'Raw Materials (2)'!$B$69:$L$128,11,FALSE)</f>
        <v>51.052153846153836</v>
      </c>
      <c r="S59" s="490">
        <f>+VLOOKUP(S$8,'Raw Materials (2)'!$B$69:$L$128,11,FALSE)</f>
        <v>33.359846153846156</v>
      </c>
      <c r="T59" s="490">
        <f>+VLOOKUP(T$8,'Raw Materials (2)'!$B$69:$L$128,11,FALSE)</f>
        <v>43.344696969696976</v>
      </c>
      <c r="U59" s="490">
        <f>+VLOOKUP(U$8,'Raw Materials (2)'!$B$69:$L$128,11,FALSE)</f>
        <v>45.351515151515159</v>
      </c>
      <c r="V59" s="490">
        <f>+VLOOKUP(V$8,'Raw Materials (2)'!$B$69:$L$128,11,FALSE)</f>
        <v>61.172031249999989</v>
      </c>
      <c r="W59" s="490">
        <f>+VLOOKUP(W$8,'Raw Materials (2)'!$B$69:$L$128,11,FALSE)</f>
        <v>69.018923076923087</v>
      </c>
      <c r="X59" s="490">
        <f>+VLOOKUP(X$8,'Raw Materials (2)'!$B$69:$L$128,11,FALSE)</f>
        <v>73.227878787878808</v>
      </c>
      <c r="Y59" s="490">
        <f>+VLOOKUP(Y$8,'Raw Materials (2)'!$B$69:$L$128,11,FALSE)</f>
        <v>79.664393939393932</v>
      </c>
      <c r="Z59" s="490">
        <f>+VLOOKUP(Z$8,'Raw Materials (2)'!$B$69:$L$128,11,FALSE)</f>
        <v>85.04105263157895</v>
      </c>
      <c r="AA59" s="490">
        <f>+VLOOKUP(AA$8,'Raw Materials (2)'!$B$69:$L$128,11,FALSE)</f>
        <v>111.97261538461539</v>
      </c>
      <c r="AB59" s="490">
        <f>+VLOOKUP(AB$8,'Raw Materials (2)'!$B$69:$L$128,11,FALSE)</f>
        <v>97.700000000000031</v>
      </c>
      <c r="AC59" s="490">
        <f>+VLOOKUP(AC$8,'Raw Materials (2)'!$B$69:$L$128,11,FALSE)</f>
        <v>88.558461538461557</v>
      </c>
      <c r="AD59" s="490">
        <f>+VLOOKUP(AD$8,'Raw Materials (2)'!$B$69:$L$128,11,FALSE)</f>
        <v>82.160923076923055</v>
      </c>
      <c r="AE59" s="490">
        <f>+VLOOKUP(AE$8,'Raw Materials (2)'!$B$69:$L$128,11,FALSE)</f>
        <v>77.84061538461539</v>
      </c>
      <c r="AF59" s="490">
        <f>+VLOOKUP(AF$8,'Raw Materials (2)'!$B$69:$L$128,11,FALSE)</f>
        <v>85.9244615384616</v>
      </c>
      <c r="AG59" s="490">
        <f>+VLOOKUP(AG$8,'Raw Materials (2)'!$B$69:$L$128,11,FALSE)</f>
        <v>82.795384615384592</v>
      </c>
      <c r="AH59" s="490">
        <f>+VLOOKUP(AH$8,'Raw Materials (2)'!$B$69:$L$128,11,FALSE)</f>
        <v>81.771692307692305</v>
      </c>
      <c r="AI59" s="490">
        <f>+VLOOKUP(AI$8,'Raw Materials (2)'!$B$69:$L$128,11,FALSE)</f>
        <v>85.029076923076929</v>
      </c>
      <c r="AJ59" s="490">
        <f>+VLOOKUP(AJ$8,'Raw Materials (2)'!$B$69:$L$128,11,FALSE)</f>
        <v>78.708484848484829</v>
      </c>
      <c r="AK59" s="490">
        <f>+VLOOKUP(AK$8,'Raw Materials (2)'!$B$69:$L$128,11,FALSE)</f>
        <v>74.005606060606056</v>
      </c>
      <c r="AL59" s="490">
        <f>+VLOOKUP(AL$8,'Raw Materials (2)'!$B$69:$L$128,11,FALSE)</f>
        <v>74.97218749999999</v>
      </c>
      <c r="AM59" s="490">
        <f>+VLOOKUP(AM$8,'Raw Materials (2)'!$B$69:$L$128,11,FALSE)</f>
        <v>66.731076923076927</v>
      </c>
      <c r="AN59" s="490">
        <f>+VLOOKUP(AN$8,'Raw Materials (2)'!$B$69:$L$128,11,FALSE)</f>
        <v>68.165000000000006</v>
      </c>
      <c r="AO59" s="490">
        <f>+VLOOKUP(AO$8,'Raw Materials (2)'!$B$69:$L$128,11,FALSE)</f>
        <v>63.06454545454546</v>
      </c>
      <c r="AP59" s="491">
        <f>+VLOOKUP(AP$8,'Raw Materials (2)'!$B$69:$L$128,11,FALSE)</f>
        <v>68</v>
      </c>
      <c r="AQ59" s="491">
        <f>+VLOOKUP(AQ$8,'Raw Materials (2)'!$B$69:$L$128,11,FALSE)</f>
        <v>70</v>
      </c>
      <c r="AR59" s="491">
        <f>+VLOOKUP(AR$8,'Raw Materials (2)'!$B$69:$L$128,11,FALSE)</f>
        <v>75</v>
      </c>
      <c r="AS59" s="491">
        <f>+VLOOKUP(AS$8,'Raw Materials (2)'!$B$69:$L$128,11,FALSE)</f>
        <v>75</v>
      </c>
      <c r="AU59" s="491">
        <v>70</v>
      </c>
      <c r="AX59" s="502" t="e">
        <f>+AVERAGEIFS('Raw Materials (2)'!$L$9:$L$128,'Raw Materials (2)'!$B$9:$B$128,"&lt;="&amp;AX1,'Raw Materials (2)'!$B$9:$B$128,"&gt;"&amp;AW1)</f>
        <v>#DIV/0!</v>
      </c>
      <c r="AY59" s="502" t="e">
        <f>+AVERAGEIFS('Raw Materials (2)'!$L$9:$L$128,'Raw Materials (2)'!$B$9:$B$128,"&lt;="&amp;AY1,'Raw Materials (2)'!$B$9:$B$128,"&gt;"&amp;AX1)</f>
        <v>#DIV/0!</v>
      </c>
      <c r="AZ59" s="502" t="e">
        <f>+AVERAGEIFS('Raw Materials (2)'!$L$9:$L$128,'Raw Materials (2)'!$B$9:$B$128,"&lt;="&amp;AZ1,'Raw Materials (2)'!$B$9:$B$128,"&gt;"&amp;AY1)</f>
        <v>#DIV/0!</v>
      </c>
      <c r="BA59" s="502" t="e">
        <f>+AVERAGEIFS('Raw Materials (2)'!$L$9:$L$128,'Raw Materials (2)'!$B$9:$B$128,"&lt;="&amp;BA1,'Raw Materials (2)'!$B$9:$B$128,"&gt;"&amp;AZ1)</f>
        <v>#DIV/0!</v>
      </c>
      <c r="BB59" s="502" t="e">
        <f>+AVERAGEIFS('Raw Materials (2)'!$L$9:$L$128,'Raw Materials (2)'!$B$9:$B$128,"&lt;="&amp;BB1,'Raw Materials (2)'!$B$9:$B$128,"&gt;"&amp;BA1)</f>
        <v>#DIV/0!</v>
      </c>
      <c r="BC59" s="502" t="e">
        <f>+AVERAGEIFS('Raw Materials (2)'!$L$9:$L$128,'Raw Materials (2)'!$B$9:$B$128,"&lt;="&amp;BC1,'Raw Materials (2)'!$B$9:$B$128,"&gt;"&amp;BB1)</f>
        <v>#DIV/0!</v>
      </c>
      <c r="BD59" s="502" t="e">
        <f>+AVERAGEIFS('Raw Materials (2)'!$L$9:$L$128,'Raw Materials (2)'!$B$9:$B$128,"&lt;="&amp;BD1,'Raw Materials (2)'!$B$9:$B$128,"&gt;"&amp;BC1)</f>
        <v>#DIV/0!</v>
      </c>
      <c r="BE59" s="502" t="e">
        <f>+AVERAGEIFS('Raw Materials (2)'!$L$9:$L$128,'Raw Materials (2)'!$B$9:$B$128,"&lt;="&amp;BE1,'Raw Materials (2)'!$B$9:$B$128,"&gt;"&amp;BD1)</f>
        <v>#DIV/0!</v>
      </c>
      <c r="BF59" s="502" t="e">
        <f>+AVERAGEIFS('Raw Materials (2)'!$L$9:$L$128,'Raw Materials (2)'!$B$9:$B$128,"&lt;="&amp;BF1,'Raw Materials (2)'!$B$9:$B$128,"&gt;"&amp;BE1)</f>
        <v>#DIV/0!</v>
      </c>
      <c r="BG59" s="502" t="e">
        <f>+AVERAGEIFS('Raw Materials (2)'!$L$9:$L$128,'Raw Materials (2)'!$B$9:$B$128,"&lt;="&amp;BG1,'Raw Materials (2)'!$B$9:$B$128,"&gt;"&amp;BF1)</f>
        <v>#DIV/0!</v>
      </c>
      <c r="BH59" s="502" t="e">
        <f>+AVERAGEIFS('Raw Materials (2)'!$L$9:$L$128,'Raw Materials (2)'!$B$9:$B$128,"&lt;="&amp;BH1,'Raw Materials (2)'!$B$9:$B$128,"&gt;"&amp;BG1)</f>
        <v>#DIV/0!</v>
      </c>
      <c r="BI59" s="502" t="e">
        <f>+AVERAGEIFS('Raw Materials (2)'!$L$9:$L$128,'Raw Materials (2)'!$B$9:$B$128,"&lt;="&amp;BI1,'Raw Materials (2)'!$B$9:$B$128,"&gt;"&amp;BH1)</f>
        <v>#DIV/0!</v>
      </c>
      <c r="BJ59" s="502" t="e">
        <f>+AVERAGEIFS('Raw Materials (2)'!$L$9:$L$128,'Raw Materials (2)'!$B$9:$B$128,"&lt;="&amp;BJ1,'Raw Materials (2)'!$B$9:$B$128,"&gt;"&amp;BI1)</f>
        <v>#DIV/0!</v>
      </c>
      <c r="BK59" s="502" t="e">
        <f>+AVERAGEIFS('Raw Materials (2)'!$L$9:$L$128,'Raw Materials (2)'!$B$9:$B$128,"&lt;="&amp;BK1,'Raw Materials (2)'!$B$9:$B$128,"&gt;"&amp;BJ1)</f>
        <v>#DIV/0!</v>
      </c>
      <c r="BL59" s="503">
        <v>94</v>
      </c>
      <c r="BM59" s="503">
        <v>96</v>
      </c>
      <c r="BN59" s="502">
        <f>+AVERAGEIFS('Raw Materials (2)'!$L$9:$L$128,'Raw Materials (2)'!$B$9:$B$128,"&lt;="&amp;BN1,'Raw Materials (2)'!$B$9:$B$128,"&gt;"&amp;BM1)</f>
        <v>99.485636618589751</v>
      </c>
      <c r="BO59" s="502">
        <f>+AVERAGEIFS('Raw Materials (2)'!$L$9:$L$128,'Raw Materials (2)'!$B$9:$B$128,"&lt;="&amp;BO1,'Raw Materials (2)'!$B$9:$B$128,"&gt;"&amp;BN1)</f>
        <v>53.606889714452215</v>
      </c>
      <c r="BP59" s="502">
        <f>+AVERAGEIFS('Raw Materials (2)'!$L$9:$L$128,'Raw Materials (2)'!$B$9:$B$128,"&lt;="&amp;BP1,'Raw Materials (2)'!$B$9:$B$128,"&gt;"&amp;BO1)</f>
        <v>45.115009324009314</v>
      </c>
      <c r="BQ59" s="502">
        <f>+AVERAGEIFS('Raw Materials (2)'!$L$9:$L$128,'Raw Materials (2)'!$B$9:$B$128,"&lt;="&amp;BQ1,'Raw Materials (2)'!$B$9:$B$128,"&gt;"&amp;BP1)</f>
        <v>54.790423076923069</v>
      </c>
      <c r="BR59" s="502">
        <f>+AVERAGEIFS('Raw Materials (2)'!$L$9:$L$128,'Raw Materials (2)'!$B$9:$B$128,"&lt;="&amp;BR1,'Raw Materials (2)'!$B$9:$B$128,"&gt;"&amp;BQ1)</f>
        <v>71.600026806526813</v>
      </c>
      <c r="BS59" s="502">
        <f>+AVERAGEIFS('Raw Materials (2)'!$L$9:$L$128,'Raw Materials (2)'!$B$9:$B$128,"&lt;="&amp;BS1,'Raw Materials (2)'!$B$9:$B$128,"&gt;"&amp;BR1)</f>
        <v>64.179488545308843</v>
      </c>
      <c r="BT59" s="502">
        <f>+AVERAGEIFS('Raw Materials (2)'!$L$9:$L$128,'Raw Materials (2)'!$B$9:$B$128,"&lt;="&amp;BT1,'Raw Materials (2)'!$B$9:$B$128,"&gt;"&amp;BS1)</f>
        <v>43.277053030303037</v>
      </c>
      <c r="BU59" s="502">
        <f>+AVERAGEIFS('Raw Materials (2)'!$L$9:$L$128,'Raw Materials (2)'!$B$9:$B$128,"&lt;="&amp;BU1,'Raw Materials (2)'!$B$9:$B$128,"&gt;"&amp;BT1)</f>
        <v>70.770806763548961</v>
      </c>
      <c r="BV59" s="502">
        <f>+AVERAGEIFS('Raw Materials (2)'!$L$9:$L$128,'Raw Materials (2)'!$B$9:$B$128,"&lt;="&amp;BV1,'Raw Materials (2)'!$B$9:$B$128,"&gt;"&amp;BU1)</f>
        <v>95.818032388663994</v>
      </c>
      <c r="BW59" s="502">
        <f>+AVERAGEIFS('Raw Materials (2)'!$L$9:$L$128,'Raw Materials (2)'!$B$9:$B$128,"&lt;="&amp;BW1,'Raw Materials (2)'!$B$9:$B$128,"&gt;"&amp;BV1)</f>
        <v>82.180346153846159</v>
      </c>
      <c r="BX59" s="502">
        <f>+AVERAGEIFS('Raw Materials (2)'!$L$9:$L$128,'Raw Materials (2)'!$B$9:$B$128,"&lt;="&amp;BX1,'Raw Materials (2)'!$B$9:$B$128,"&gt;"&amp;BW1)</f>
        <v>79.878715034965026</v>
      </c>
      <c r="BY59" s="502">
        <f>+AVERAGEIFS('Raw Materials (2)'!$L$9:$L$128,'Raw Materials (2)'!$B$9:$B$128,"&lt;="&amp;BY1,'Raw Materials (2)'!$B$9:$B$128,"&gt;"&amp;BX1)</f>
        <v>68.233202469405597</v>
      </c>
      <c r="BZ59" s="502">
        <f>+AVERAGEIFS('Raw Materials (2)'!$L$9:$L$128,'Raw Materials (2)'!$B$9:$B$128,"&lt;="&amp;BZ1,'Raw Materials (2)'!$B$9:$B$128,"&gt;"&amp;BY1)</f>
        <v>72</v>
      </c>
      <c r="CA59" s="493">
        <f>+BZ59</f>
        <v>72</v>
      </c>
      <c r="CB59" s="493">
        <f>+CA59</f>
        <v>72</v>
      </c>
      <c r="CC59" s="493">
        <f>+CB59</f>
        <v>72</v>
      </c>
      <c r="CD59" s="493">
        <f>+CC59</f>
        <v>72</v>
      </c>
    </row>
    <row r="60" spans="1:82" s="501" customFormat="1" ht="17.25" customHeight="1">
      <c r="A60" s="500" t="s">
        <v>51</v>
      </c>
      <c r="F60" s="504">
        <f t="shared" ref="F60:Q60" si="169">F59/B59-1</f>
        <v>0.54618239475885155</v>
      </c>
      <c r="G60" s="504">
        <f t="shared" si="169"/>
        <v>8.1736871720383908E-2</v>
      </c>
      <c r="H60" s="504">
        <f t="shared" si="169"/>
        <v>0.11025748511608735</v>
      </c>
      <c r="I60" s="504">
        <f t="shared" si="169"/>
        <v>0.20315833501340586</v>
      </c>
      <c r="J60" s="504">
        <f t="shared" si="169"/>
        <v>0.23187511621224144</v>
      </c>
      <c r="K60" s="504">
        <f t="shared" si="169"/>
        <v>0.47369360160406049</v>
      </c>
      <c r="L60" s="504">
        <f t="shared" si="169"/>
        <v>0.45372374621786338</v>
      </c>
      <c r="M60" s="504">
        <f t="shared" si="169"/>
        <v>0.11068796417008975</v>
      </c>
      <c r="N60" s="504">
        <f t="shared" si="169"/>
        <v>-5.3424464962413154E-2</v>
      </c>
      <c r="O60" s="504">
        <f t="shared" si="169"/>
        <v>-8.5991385059913106E-2</v>
      </c>
      <c r="P60" s="504">
        <f t="shared" si="169"/>
        <v>-0.18206963692906486</v>
      </c>
      <c r="Q60" s="504">
        <f t="shared" si="169"/>
        <v>-8.5385379613778345E-2</v>
      </c>
      <c r="R60" s="504">
        <f t="shared" ref="R60:AJ60" si="170">R59/N59-1</f>
        <v>-0.19826029279886814</v>
      </c>
      <c r="S60" s="504">
        <f t="shared" si="170"/>
        <v>-0.51314802757134181</v>
      </c>
      <c r="T60" s="504">
        <f t="shared" si="170"/>
        <v>-0.30123521925935681</v>
      </c>
      <c r="U60" s="504">
        <f t="shared" si="170"/>
        <v>-0.27425084075077122</v>
      </c>
      <c r="V60" s="504">
        <f t="shared" si="170"/>
        <v>0.19822625768821633</v>
      </c>
      <c r="W60" s="504">
        <f t="shared" si="170"/>
        <v>1.0689221034961425</v>
      </c>
      <c r="X60" s="504">
        <f t="shared" si="170"/>
        <v>0.68943109324477869</v>
      </c>
      <c r="Y60" s="504">
        <f t="shared" si="170"/>
        <v>0.75659828945610008</v>
      </c>
      <c r="Z60" s="504">
        <f t="shared" si="170"/>
        <v>0.39019501059283468</v>
      </c>
      <c r="AA60" s="504">
        <f t="shared" si="170"/>
        <v>0.62234660282687226</v>
      </c>
      <c r="AB60" s="504">
        <f t="shared" si="170"/>
        <v>0.33419131643851485</v>
      </c>
      <c r="AC60" s="504">
        <f t="shared" si="170"/>
        <v>0.11164420086888427</v>
      </c>
      <c r="AD60" s="504">
        <f t="shared" si="170"/>
        <v>-3.3867520045093968E-2</v>
      </c>
      <c r="AE60" s="504">
        <f t="shared" si="170"/>
        <v>-0.30482453127275622</v>
      </c>
      <c r="AF60" s="504">
        <f t="shared" si="170"/>
        <v>-0.12052751751830526</v>
      </c>
      <c r="AG60" s="504">
        <f t="shared" si="170"/>
        <v>-6.5076524851033213E-2</v>
      </c>
      <c r="AH60" s="504">
        <f t="shared" si="170"/>
        <v>-4.7374196230285381E-3</v>
      </c>
      <c r="AI60" s="504">
        <f t="shared" si="170"/>
        <v>9.2348467479899776E-2</v>
      </c>
      <c r="AJ60" s="504">
        <f t="shared" si="170"/>
        <v>-8.3980470296537657E-2</v>
      </c>
      <c r="AK60" s="504">
        <f>AK59/AG59-1</f>
        <v>-0.10616266348191183</v>
      </c>
      <c r="AL60" s="504">
        <f>AL59/AH59-1</f>
        <v>-8.315230632756121E-2</v>
      </c>
      <c r="AM60" s="504">
        <f>AM59/AI59-1</f>
        <v>-0.21519697334305554</v>
      </c>
      <c r="AN60" s="504">
        <f>AN59/AJ59-1</f>
        <v>-0.1339561404184213</v>
      </c>
      <c r="AO60" s="504">
        <f>AO59/AK59-1</f>
        <v>-0.14784097027866427</v>
      </c>
      <c r="AP60" s="505">
        <f t="shared" ref="AP60:AS60" si="171">AP59/AL59-1</f>
        <v>-9.299698638245002E-2</v>
      </c>
      <c r="AQ60" s="505">
        <f t="shared" si="171"/>
        <v>4.898651764141726E-2</v>
      </c>
      <c r="AR60" s="505">
        <f t="shared" si="171"/>
        <v>0.10027140027873527</v>
      </c>
      <c r="AS60" s="505">
        <f t="shared" si="171"/>
        <v>0.18925775900592456</v>
      </c>
      <c r="AU60" s="505">
        <v>-5.4125711197145154E-2</v>
      </c>
      <c r="AX60" s="505"/>
      <c r="AY60" s="505" t="e">
        <f t="shared" ref="AY60:CD60" si="172">AY59/AX59-1</f>
        <v>#DIV/0!</v>
      </c>
      <c r="AZ60" s="505" t="e">
        <f t="shared" si="172"/>
        <v>#DIV/0!</v>
      </c>
      <c r="BA60" s="505" t="e">
        <f t="shared" si="172"/>
        <v>#DIV/0!</v>
      </c>
      <c r="BB60" s="505" t="e">
        <f t="shared" si="172"/>
        <v>#DIV/0!</v>
      </c>
      <c r="BC60" s="505" t="e">
        <f t="shared" si="172"/>
        <v>#DIV/0!</v>
      </c>
      <c r="BD60" s="505" t="e">
        <f t="shared" si="172"/>
        <v>#DIV/0!</v>
      </c>
      <c r="BE60" s="505" t="e">
        <f t="shared" si="172"/>
        <v>#DIV/0!</v>
      </c>
      <c r="BF60" s="505" t="e">
        <f t="shared" si="172"/>
        <v>#DIV/0!</v>
      </c>
      <c r="BG60" s="505" t="e">
        <f t="shared" si="172"/>
        <v>#DIV/0!</v>
      </c>
      <c r="BH60" s="505" t="e">
        <f t="shared" si="172"/>
        <v>#DIV/0!</v>
      </c>
      <c r="BI60" s="505" t="e">
        <f t="shared" si="172"/>
        <v>#DIV/0!</v>
      </c>
      <c r="BJ60" s="505" t="e">
        <f t="shared" si="172"/>
        <v>#DIV/0!</v>
      </c>
      <c r="BK60" s="505" t="e">
        <f t="shared" si="172"/>
        <v>#DIV/0!</v>
      </c>
      <c r="BL60" s="505" t="e">
        <f t="shared" si="172"/>
        <v>#DIV/0!</v>
      </c>
      <c r="BM60" s="505">
        <f t="shared" si="172"/>
        <v>2.1276595744680771E-2</v>
      </c>
      <c r="BN60" s="505">
        <f t="shared" si="172"/>
        <v>3.6308714776976503E-2</v>
      </c>
      <c r="BO60" s="505">
        <f t="shared" si="172"/>
        <v>-0.46115950466325606</v>
      </c>
      <c r="BP60" s="505">
        <f t="shared" si="172"/>
        <v>-0.15841024233408418</v>
      </c>
      <c r="BQ60" s="505">
        <f t="shared" si="172"/>
        <v>0.21446108286105781</v>
      </c>
      <c r="BR60" s="505">
        <f t="shared" si="172"/>
        <v>0.30679821008142039</v>
      </c>
      <c r="BS60" s="505">
        <f t="shared" si="172"/>
        <v>-0.10363876372936687</v>
      </c>
      <c r="BT60" s="505">
        <f t="shared" si="172"/>
        <v>-0.32568716249973384</v>
      </c>
      <c r="BU60" s="505">
        <f t="shared" si="172"/>
        <v>0.63529634778954369</v>
      </c>
      <c r="BV60" s="505">
        <f t="shared" si="172"/>
        <v>0.35392030655803963</v>
      </c>
      <c r="BW60" s="505">
        <f t="shared" si="172"/>
        <v>-0.14232901568568712</v>
      </c>
      <c r="BX60" s="505">
        <f t="shared" si="172"/>
        <v>-2.8007075007597915E-2</v>
      </c>
      <c r="BY60" s="505">
        <f>BY59/BX59-1</f>
        <v>-0.14578993365706849</v>
      </c>
      <c r="BZ60" s="505">
        <f>BZ59/BY59-1</f>
        <v>5.5204759475907084E-2</v>
      </c>
      <c r="CA60" s="505">
        <f t="shared" si="172"/>
        <v>0</v>
      </c>
      <c r="CB60" s="505">
        <f t="shared" si="172"/>
        <v>0</v>
      </c>
      <c r="CC60" s="505">
        <f t="shared" si="172"/>
        <v>0</v>
      </c>
      <c r="CD60" s="505">
        <f t="shared" si="172"/>
        <v>0</v>
      </c>
    </row>
    <row r="61" spans="1:82" s="492" customFormat="1" ht="17.25" customHeight="1">
      <c r="A61" s="489" t="s">
        <v>211</v>
      </c>
      <c r="B61" s="498">
        <f t="shared" ref="B61:AI61" si="173">+B59*B3</f>
        <v>636.68742301538452</v>
      </c>
      <c r="C61" s="498">
        <f t="shared" si="173"/>
        <v>851.53338996923037</v>
      </c>
      <c r="D61" s="498">
        <f t="shared" si="173"/>
        <v>881.60908890909081</v>
      </c>
      <c r="E61" s="498">
        <f t="shared" si="173"/>
        <v>1014.6250073384612</v>
      </c>
      <c r="F61" s="498">
        <f t="shared" si="173"/>
        <v>1108.5169733353846</v>
      </c>
      <c r="G61" s="498">
        <f t="shared" si="173"/>
        <v>943.59700412094708</v>
      </c>
      <c r="H61" s="498">
        <f t="shared" si="173"/>
        <v>929.58145664378731</v>
      </c>
      <c r="I61" s="498">
        <f t="shared" si="173"/>
        <v>1167.9324252217755</v>
      </c>
      <c r="J61" s="498">
        <f t="shared" si="173"/>
        <v>1259.1937672709128</v>
      </c>
      <c r="K61" s="498">
        <f t="shared" si="173"/>
        <v>1455.5413076094676</v>
      </c>
      <c r="L61" s="498">
        <f t="shared" si="173"/>
        <v>1436.5408917396453</v>
      </c>
      <c r="M61" s="498">
        <f t="shared" si="173"/>
        <v>1355.343103273646</v>
      </c>
      <c r="N61" s="498">
        <f t="shared" si="173"/>
        <v>1222.6243408850103</v>
      </c>
      <c r="O61" s="498">
        <f t="shared" si="173"/>
        <v>1309.2684439999996</v>
      </c>
      <c r="P61" s="498">
        <f t="shared" si="173"/>
        <v>1205.718557981405</v>
      </c>
      <c r="Q61" s="498">
        <f t="shared" si="173"/>
        <v>1202.5920257993564</v>
      </c>
      <c r="R61" s="498">
        <f t="shared" si="173"/>
        <v>1021.0496744321889</v>
      </c>
      <c r="S61" s="498">
        <f t="shared" si="173"/>
        <v>777.83598194863919</v>
      </c>
      <c r="T61" s="498">
        <f t="shared" si="173"/>
        <v>957.16583821166216</v>
      </c>
      <c r="U61" s="498">
        <f t="shared" si="173"/>
        <v>931.28965305785141</v>
      </c>
      <c r="V61" s="498">
        <f t="shared" si="173"/>
        <v>1244.2572760717776</v>
      </c>
      <c r="W61" s="498">
        <f t="shared" si="173"/>
        <v>1381.791331985326</v>
      </c>
      <c r="X61" s="498">
        <f t="shared" si="173"/>
        <v>1466.9918479706162</v>
      </c>
      <c r="Y61" s="498">
        <f t="shared" si="173"/>
        <v>1652.8827599322767</v>
      </c>
      <c r="Z61" s="498">
        <f t="shared" si="173"/>
        <v>1743.4941213355248</v>
      </c>
      <c r="AA61" s="498">
        <f t="shared" si="173"/>
        <v>2242.8180322452072</v>
      </c>
      <c r="AB61" s="498">
        <f t="shared" si="173"/>
        <v>1976.836930909092</v>
      </c>
      <c r="AC61" s="498">
        <f t="shared" si="173"/>
        <v>1741.9480720686395</v>
      </c>
      <c r="AD61" s="498">
        <f t="shared" si="173"/>
        <v>1532.4635148080472</v>
      </c>
      <c r="AE61" s="498">
        <f t="shared" si="173"/>
        <v>1375.7264149121895</v>
      </c>
      <c r="AF61" s="498">
        <f t="shared" si="173"/>
        <v>1466.7620200336103</v>
      </c>
      <c r="AG61" s="498">
        <f t="shared" si="173"/>
        <v>1453.3249642508877</v>
      </c>
      <c r="AH61" s="498">
        <f t="shared" si="173"/>
        <v>1388.2492639153847</v>
      </c>
      <c r="AI61" s="498">
        <f t="shared" si="173"/>
        <v>1466.4699344575145</v>
      </c>
      <c r="AJ61" s="498">
        <f t="shared" ref="AJ61:AM61" si="174">+AJ59*AJ3</f>
        <v>1491.3086240137739</v>
      </c>
      <c r="AK61" s="498">
        <f t="shared" si="174"/>
        <v>1486.359091401285</v>
      </c>
      <c r="AL61" s="498">
        <f t="shared" si="174"/>
        <v>1530.8347220502926</v>
      </c>
      <c r="AM61" s="498">
        <f t="shared" si="174"/>
        <v>1300.7777948364494</v>
      </c>
      <c r="AN61" s="498">
        <f t="shared" ref="AN61:AO61" si="175">+AN59*AN3</f>
        <v>1269.7992055833336</v>
      </c>
      <c r="AO61" s="498">
        <f t="shared" si="175"/>
        <v>1154.1935513719013</v>
      </c>
      <c r="AP61" s="498">
        <f t="shared" ref="AP61:AS61" si="176">+AP59*AP3</f>
        <v>1221.6268</v>
      </c>
      <c r="AQ61" s="498">
        <f t="shared" si="176"/>
        <v>1255.4732656129495</v>
      </c>
      <c r="AR61" s="498">
        <f t="shared" si="176"/>
        <v>1345.1867593090205</v>
      </c>
      <c r="AS61" s="498">
        <f t="shared" si="176"/>
        <v>1352.426371642701</v>
      </c>
      <c r="AU61" s="498">
        <v>1281.1247272727276</v>
      </c>
      <c r="AX61" s="498" t="e">
        <f t="shared" ref="AX61:CD61" si="177">+AX59*AX3</f>
        <v>#DIV/0!</v>
      </c>
      <c r="AY61" s="498" t="e">
        <f t="shared" si="177"/>
        <v>#DIV/0!</v>
      </c>
      <c r="AZ61" s="498" t="e">
        <f t="shared" si="177"/>
        <v>#DIV/0!</v>
      </c>
      <c r="BA61" s="498" t="e">
        <f t="shared" si="177"/>
        <v>#DIV/0!</v>
      </c>
      <c r="BB61" s="498" t="e">
        <f t="shared" si="177"/>
        <v>#DIV/0!</v>
      </c>
      <c r="BC61" s="498" t="e">
        <f t="shared" si="177"/>
        <v>#DIV/0!</v>
      </c>
      <c r="BD61" s="498" t="e">
        <f t="shared" si="177"/>
        <v>#DIV/0!</v>
      </c>
      <c r="BE61" s="498" t="e">
        <f t="shared" si="177"/>
        <v>#DIV/0!</v>
      </c>
      <c r="BF61" s="498" t="e">
        <f t="shared" si="177"/>
        <v>#DIV/0!</v>
      </c>
      <c r="BG61" s="498" t="e">
        <f t="shared" si="177"/>
        <v>#DIV/0!</v>
      </c>
      <c r="BH61" s="498" t="e">
        <f t="shared" si="177"/>
        <v>#DIV/0!</v>
      </c>
      <c r="BI61" s="498" t="e">
        <f t="shared" si="177"/>
        <v>#DIV/0!</v>
      </c>
      <c r="BJ61" s="498" t="e">
        <f t="shared" si="177"/>
        <v>#DIV/0!</v>
      </c>
      <c r="BK61" s="498" t="e">
        <f t="shared" si="177"/>
        <v>#DIV/0!</v>
      </c>
      <c r="BL61" s="498">
        <f t="shared" si="177"/>
        <v>1262.4576</v>
      </c>
      <c r="BM61" s="498">
        <f t="shared" si="177"/>
        <v>1248.9839999999999</v>
      </c>
      <c r="BN61" s="498">
        <f t="shared" si="177"/>
        <v>1384.9693930583733</v>
      </c>
      <c r="BO61" s="498">
        <f t="shared" si="177"/>
        <v>856.49603937920313</v>
      </c>
      <c r="BP61" s="498">
        <f t="shared" si="177"/>
        <v>855.71217210174802</v>
      </c>
      <c r="BQ61" s="498">
        <f t="shared" si="177"/>
        <v>1106.3884922346153</v>
      </c>
      <c r="BR61" s="498">
        <f t="shared" si="177"/>
        <v>1407.2770468742424</v>
      </c>
      <c r="BS61" s="498">
        <f t="shared" si="177"/>
        <v>1237.9228558317625</v>
      </c>
      <c r="BT61" s="498">
        <f t="shared" si="177"/>
        <v>840.45768066969708</v>
      </c>
      <c r="BU61" s="498">
        <f t="shared" si="177"/>
        <v>1431.1166387514725</v>
      </c>
      <c r="BV61" s="498">
        <f t="shared" si="177"/>
        <v>1917.7643819477737</v>
      </c>
      <c r="BW61" s="498">
        <f t="shared" si="177"/>
        <v>1498.636683444231</v>
      </c>
      <c r="BX61" s="498">
        <f t="shared" si="177"/>
        <v>1509.6757626748249</v>
      </c>
      <c r="BY61" s="498">
        <f>+BY59*BY3</f>
        <v>1324.9250322699302</v>
      </c>
      <c r="BZ61" s="498">
        <f>+BZ59*BZ3</f>
        <v>1301.3827581850812</v>
      </c>
      <c r="CA61" s="498">
        <f t="shared" si="177"/>
        <v>1315.7938510493545</v>
      </c>
      <c r="CB61" s="498">
        <f t="shared" si="177"/>
        <v>1335.1437606236095</v>
      </c>
      <c r="CC61" s="498">
        <f t="shared" si="177"/>
        <v>1354.7782276916034</v>
      </c>
      <c r="CD61" s="498">
        <f t="shared" si="177"/>
        <v>1374.7014369223625</v>
      </c>
    </row>
    <row r="62" spans="1:82" s="501" customFormat="1" ht="17.25" customHeight="1">
      <c r="A62" s="500" t="s">
        <v>51</v>
      </c>
      <c r="F62" s="504">
        <f t="shared" ref="F62:Q62" si="178">F61/B61-1</f>
        <v>0.74106937449053256</v>
      </c>
      <c r="G62" s="504">
        <f t="shared" si="178"/>
        <v>0.10811509593891944</v>
      </c>
      <c r="H62" s="504">
        <f t="shared" si="178"/>
        <v>5.4414556676199766E-2</v>
      </c>
      <c r="I62" s="504">
        <f t="shared" si="178"/>
        <v>0.15109761416729373</v>
      </c>
      <c r="J62" s="504">
        <f t="shared" si="178"/>
        <v>0.13592646532254804</v>
      </c>
      <c r="K62" s="504">
        <f t="shared" si="178"/>
        <v>0.54254549479568004</v>
      </c>
      <c r="L62" s="504">
        <f t="shared" si="178"/>
        <v>0.54536311097062184</v>
      </c>
      <c r="M62" s="504">
        <f t="shared" si="178"/>
        <v>0.16046363128952734</v>
      </c>
      <c r="N62" s="504">
        <f t="shared" si="178"/>
        <v>-2.9041937258918016E-2</v>
      </c>
      <c r="O62" s="504">
        <f t="shared" si="178"/>
        <v>-0.10049379076001741</v>
      </c>
      <c r="P62" s="504">
        <f t="shared" si="178"/>
        <v>-0.16067926439512303</v>
      </c>
      <c r="Q62" s="504">
        <f t="shared" si="178"/>
        <v>-0.11270288468310363</v>
      </c>
      <c r="R62" s="504">
        <f t="shared" ref="R62:AJ62" si="179">R61/N61-1</f>
        <v>-0.16487048368995283</v>
      </c>
      <c r="S62" s="504">
        <f t="shared" si="179"/>
        <v>-0.40590030599665206</v>
      </c>
      <c r="T62" s="504">
        <f t="shared" si="179"/>
        <v>-0.20614489021871396</v>
      </c>
      <c r="U62" s="504">
        <f t="shared" si="179"/>
        <v>-0.22559801405732072</v>
      </c>
      <c r="V62" s="504">
        <f t="shared" si="179"/>
        <v>0.2186060161702863</v>
      </c>
      <c r="W62" s="504">
        <f t="shared" si="179"/>
        <v>0.77645591622497889</v>
      </c>
      <c r="X62" s="504">
        <f t="shared" si="179"/>
        <v>0.5326412512919354</v>
      </c>
      <c r="Y62" s="504">
        <f t="shared" si="179"/>
        <v>0.77483208849696106</v>
      </c>
      <c r="Z62" s="504">
        <f t="shared" si="179"/>
        <v>0.40123281162548552</v>
      </c>
      <c r="AA62" s="504">
        <f t="shared" si="179"/>
        <v>0.62312353560850453</v>
      </c>
      <c r="AB62" s="504">
        <f t="shared" si="179"/>
        <v>0.34754459177382424</v>
      </c>
      <c r="AC62" s="504">
        <f t="shared" si="179"/>
        <v>5.388483339254635E-2</v>
      </c>
      <c r="AD62" s="504">
        <f t="shared" si="179"/>
        <v>-0.12103889766248666</v>
      </c>
      <c r="AE62" s="504">
        <f t="shared" si="179"/>
        <v>-0.38660809966156839</v>
      </c>
      <c r="AF62" s="504">
        <f t="shared" si="179"/>
        <v>-0.25802579003869197</v>
      </c>
      <c r="AG62" s="504">
        <f t="shared" si="179"/>
        <v>-0.16568984600958814</v>
      </c>
      <c r="AH62" s="504">
        <f t="shared" si="179"/>
        <v>-9.4106156198261237E-2</v>
      </c>
      <c r="AI62" s="504">
        <f t="shared" si="179"/>
        <v>6.5960439925925929E-2</v>
      </c>
      <c r="AJ62" s="504">
        <f t="shared" si="179"/>
        <v>1.6735232876837758E-2</v>
      </c>
      <c r="AK62" s="504">
        <f>AK61/AG61-1</f>
        <v>2.2730034894449469E-2</v>
      </c>
      <c r="AL62" s="504">
        <f>AL61/AH61-1</f>
        <v>0.10270883035281675</v>
      </c>
      <c r="AM62" s="504">
        <f>AM61/AI61-1</f>
        <v>-0.11298706896596478</v>
      </c>
      <c r="AN62" s="504">
        <f>AN61/AJ61-1</f>
        <v>-0.14853358645124715</v>
      </c>
      <c r="AO62" s="504">
        <f>AO61/AK61-1</f>
        <v>-0.22347597020867294</v>
      </c>
      <c r="AP62" s="505">
        <f t="shared" ref="AP62:AS62" si="180">AP61/AL61-1</f>
        <v>-0.20198648331948021</v>
      </c>
      <c r="AQ62" s="505">
        <f t="shared" si="180"/>
        <v>-3.482879966381669E-2</v>
      </c>
      <c r="AR62" s="505">
        <f t="shared" si="180"/>
        <v>5.9369665214946021E-2</v>
      </c>
      <c r="AS62" s="505">
        <f t="shared" si="180"/>
        <v>0.17175006742601839</v>
      </c>
      <c r="AU62" s="505">
        <v>-0.13807858768170889</v>
      </c>
      <c r="AX62" s="505"/>
      <c r="AY62" s="505" t="e">
        <f t="shared" ref="AY62:CD62" si="181">AY61/AX61-1</f>
        <v>#DIV/0!</v>
      </c>
      <c r="AZ62" s="505" t="e">
        <f t="shared" si="181"/>
        <v>#DIV/0!</v>
      </c>
      <c r="BA62" s="505" t="e">
        <f t="shared" si="181"/>
        <v>#DIV/0!</v>
      </c>
      <c r="BB62" s="505" t="e">
        <f t="shared" si="181"/>
        <v>#DIV/0!</v>
      </c>
      <c r="BC62" s="505" t="e">
        <f t="shared" si="181"/>
        <v>#DIV/0!</v>
      </c>
      <c r="BD62" s="505" t="e">
        <f t="shared" si="181"/>
        <v>#DIV/0!</v>
      </c>
      <c r="BE62" s="505" t="e">
        <f t="shared" si="181"/>
        <v>#DIV/0!</v>
      </c>
      <c r="BF62" s="505" t="e">
        <f t="shared" si="181"/>
        <v>#DIV/0!</v>
      </c>
      <c r="BG62" s="505" t="e">
        <f t="shared" si="181"/>
        <v>#DIV/0!</v>
      </c>
      <c r="BH62" s="505" t="e">
        <f t="shared" si="181"/>
        <v>#DIV/0!</v>
      </c>
      <c r="BI62" s="505" t="e">
        <f t="shared" si="181"/>
        <v>#DIV/0!</v>
      </c>
      <c r="BJ62" s="505" t="e">
        <f t="shared" si="181"/>
        <v>#DIV/0!</v>
      </c>
      <c r="BK62" s="505" t="e">
        <f t="shared" si="181"/>
        <v>#DIV/0!</v>
      </c>
      <c r="BL62" s="505" t="e">
        <f t="shared" si="181"/>
        <v>#DIV/0!</v>
      </c>
      <c r="BM62" s="505">
        <f t="shared" si="181"/>
        <v>-1.067251684333792E-2</v>
      </c>
      <c r="BN62" s="505">
        <f t="shared" si="181"/>
        <v>0.10887680951747458</v>
      </c>
      <c r="BO62" s="505">
        <f t="shared" si="181"/>
        <v>-0.38157764086913382</v>
      </c>
      <c r="BP62" s="505">
        <f t="shared" si="181"/>
        <v>-9.1520245443665882E-4</v>
      </c>
      <c r="BQ62" s="505">
        <f t="shared" si="181"/>
        <v>0.29294467030563731</v>
      </c>
      <c r="BR62" s="505">
        <f t="shared" si="181"/>
        <v>0.27195560759305337</v>
      </c>
      <c r="BS62" s="505">
        <f t="shared" si="181"/>
        <v>-0.12034175603065445</v>
      </c>
      <c r="BT62" s="505">
        <f t="shared" si="181"/>
        <v>-0.32107426831133823</v>
      </c>
      <c r="BU62" s="505">
        <f t="shared" si="181"/>
        <v>0.70278250965726663</v>
      </c>
      <c r="BV62" s="505">
        <f t="shared" si="181"/>
        <v>0.34004757545189324</v>
      </c>
      <c r="BW62" s="505">
        <f t="shared" si="181"/>
        <v>-0.21855015269282263</v>
      </c>
      <c r="BX62" s="505">
        <f t="shared" si="181"/>
        <v>7.3660810205335991E-3</v>
      </c>
      <c r="BY62" s="505">
        <f>BY61/BX61-1</f>
        <v>-0.12237775486145164</v>
      </c>
      <c r="BZ62" s="505">
        <f>BZ61/BY61-1</f>
        <v>-1.7768759372381315E-2</v>
      </c>
      <c r="CA62" s="505">
        <f t="shared" si="181"/>
        <v>1.1073677420139649E-2</v>
      </c>
      <c r="CB62" s="505">
        <f t="shared" si="181"/>
        <v>1.4705882352940902E-2</v>
      </c>
      <c r="CC62" s="505">
        <f t="shared" si="181"/>
        <v>1.4705882352940902E-2</v>
      </c>
      <c r="CD62" s="505">
        <f t="shared" si="181"/>
        <v>1.4705882352941346E-2</v>
      </c>
    </row>
    <row r="63" spans="1:82" s="501" customFormat="1" ht="17.25" customHeight="1">
      <c r="A63" s="500"/>
      <c r="F63" s="504"/>
      <c r="G63" s="504"/>
      <c r="H63" s="504"/>
      <c r="I63" s="504"/>
      <c r="J63" s="504"/>
      <c r="K63" s="504"/>
      <c r="L63" s="504"/>
      <c r="M63" s="504"/>
      <c r="N63" s="504"/>
      <c r="O63" s="504"/>
      <c r="P63" s="504"/>
      <c r="Q63" s="504"/>
      <c r="R63" s="504"/>
      <c r="S63" s="504"/>
      <c r="T63" s="504"/>
      <c r="U63" s="504"/>
      <c r="V63" s="504"/>
      <c r="W63" s="504"/>
      <c r="X63" s="504"/>
      <c r="Y63" s="504"/>
      <c r="Z63" s="504"/>
      <c r="AA63" s="504"/>
      <c r="AB63" s="504"/>
      <c r="AC63" s="504"/>
      <c r="AD63" s="504"/>
      <c r="AE63" s="504"/>
      <c r="AF63" s="504"/>
      <c r="AG63" s="504"/>
      <c r="AH63" s="504"/>
      <c r="AI63" s="504"/>
      <c r="AJ63" s="504"/>
      <c r="AK63" s="504"/>
      <c r="AL63" s="504"/>
      <c r="AM63" s="504"/>
      <c r="AN63" s="504"/>
      <c r="AO63" s="504"/>
      <c r="AP63" s="505"/>
      <c r="AQ63" s="505"/>
      <c r="AR63" s="505"/>
      <c r="AS63" s="505"/>
      <c r="AU63" s="505"/>
      <c r="AX63" s="505"/>
      <c r="AY63" s="505"/>
      <c r="AZ63" s="505"/>
      <c r="BA63" s="505"/>
      <c r="BB63" s="505"/>
      <c r="BC63" s="505"/>
      <c r="BD63" s="505"/>
      <c r="BE63" s="505"/>
      <c r="BF63" s="505"/>
      <c r="BG63" s="505"/>
      <c r="BH63" s="505"/>
      <c r="BI63" s="505"/>
      <c r="BJ63" s="505"/>
      <c r="BK63" s="505"/>
      <c r="BL63" s="505"/>
      <c r="BM63" s="505"/>
      <c r="BN63" s="505"/>
      <c r="BO63" s="505"/>
      <c r="BP63" s="505"/>
      <c r="BQ63" s="505"/>
      <c r="BR63" s="505"/>
      <c r="BS63" s="505"/>
      <c r="BT63" s="505"/>
      <c r="BU63" s="505"/>
      <c r="BV63" s="505"/>
      <c r="BW63" s="505"/>
      <c r="BX63" s="505"/>
      <c r="BY63" s="505"/>
      <c r="BZ63" s="505"/>
      <c r="CA63" s="505"/>
      <c r="CB63" s="505"/>
      <c r="CC63" s="505"/>
      <c r="CD63" s="505"/>
    </row>
    <row r="64" spans="1:82" s="492" customFormat="1" ht="17.25" customHeight="1">
      <c r="A64" s="489" t="s">
        <v>212</v>
      </c>
      <c r="F64" s="506">
        <f t="shared" ref="F64:AO64" si="182">+$BR$114*F57+F62*$BR$115+F6*$BR$116</f>
        <v>0.29243162933674238</v>
      </c>
      <c r="G64" s="506">
        <f t="shared" si="182"/>
        <v>3.0060567972396774E-2</v>
      </c>
      <c r="H64" s="506">
        <f t="shared" si="182"/>
        <v>6.2954009817765083E-2</v>
      </c>
      <c r="I64" s="506">
        <f t="shared" si="182"/>
        <v>0.16023862937505484</v>
      </c>
      <c r="J64" s="506">
        <f t="shared" si="182"/>
        <v>0.17699185262614017</v>
      </c>
      <c r="K64" s="506">
        <f t="shared" si="182"/>
        <v>0.41185996003859482</v>
      </c>
      <c r="L64" s="506">
        <f t="shared" si="182"/>
        <v>0.36845906483443158</v>
      </c>
      <c r="M64" s="506">
        <f t="shared" si="182"/>
        <v>0.16276474182775277</v>
      </c>
      <c r="N64" s="506">
        <f t="shared" si="182"/>
        <v>4.6810020024368536E-2</v>
      </c>
      <c r="O64" s="506">
        <f t="shared" si="182"/>
        <v>-3.8649455471433031E-2</v>
      </c>
      <c r="P64" s="506">
        <f t="shared" si="182"/>
        <v>-8.111639482249336E-2</v>
      </c>
      <c r="Q64" s="506">
        <f t="shared" si="182"/>
        <v>-0.12023017625662574</v>
      </c>
      <c r="R64" s="506">
        <f t="shared" si="182"/>
        <v>-0.1600965464369524</v>
      </c>
      <c r="S64" s="506">
        <f t="shared" si="182"/>
        <v>-0.20569162638834379</v>
      </c>
      <c r="T64" s="506">
        <f t="shared" si="182"/>
        <v>-0.12948880166850962</v>
      </c>
      <c r="U64" s="506">
        <f t="shared" si="182"/>
        <v>-0.11685559250550771</v>
      </c>
      <c r="V64" s="506">
        <f t="shared" si="182"/>
        <v>9.6282622366069992E-2</v>
      </c>
      <c r="W64" s="506">
        <f t="shared" si="182"/>
        <v>0.30194721088607268</v>
      </c>
      <c r="X64" s="506">
        <f t="shared" si="182"/>
        <v>0.33342770794062482</v>
      </c>
      <c r="Y64" s="506">
        <f t="shared" si="182"/>
        <v>0.55535361391471694</v>
      </c>
      <c r="Z64" s="506">
        <f t="shared" si="182"/>
        <v>0.41113138257384074</v>
      </c>
      <c r="AA64" s="506">
        <f t="shared" si="182"/>
        <v>0.4437691206995325</v>
      </c>
      <c r="AB64" s="506">
        <f t="shared" si="182"/>
        <v>0.24689088242709853</v>
      </c>
      <c r="AC64" s="506">
        <f t="shared" si="182"/>
        <v>8.9556102552246372E-2</v>
      </c>
      <c r="AD64" s="506">
        <f t="shared" si="182"/>
        <v>5.7282576562387999E-3</v>
      </c>
      <c r="AE64" s="506">
        <f t="shared" si="182"/>
        <v>-0.12803158287719307</v>
      </c>
      <c r="AF64" s="506">
        <f t="shared" si="182"/>
        <v>-0.17396058677884277</v>
      </c>
      <c r="AG64" s="506">
        <f t="shared" si="182"/>
        <v>-0.20631488882633159</v>
      </c>
      <c r="AH64" s="506">
        <f t="shared" si="182"/>
        <v>-0.16111528483913767</v>
      </c>
      <c r="AI64" s="506">
        <f t="shared" si="182"/>
        <v>-2.501079407568866E-2</v>
      </c>
      <c r="AJ64" s="506">
        <f t="shared" si="182"/>
        <v>6.1488771036584788E-2</v>
      </c>
      <c r="AK64" s="506">
        <f t="shared" si="182"/>
        <v>0.19562943477684183</v>
      </c>
      <c r="AL64" s="506">
        <f t="shared" si="182"/>
        <v>0.18200147848338324</v>
      </c>
      <c r="AM64" s="506">
        <f t="shared" si="182"/>
        <v>3.7476080442024239E-2</v>
      </c>
      <c r="AN64" s="506">
        <f t="shared" si="182"/>
        <v>-6.207470744978337E-2</v>
      </c>
      <c r="AO64" s="506">
        <f t="shared" si="182"/>
        <v>-9.8585384763137371E-2</v>
      </c>
      <c r="AP64" s="507">
        <f t="shared" ref="AP64:AS64" si="183">+$BR$114*AP57+AP62*$BR$115+AP6*$BR$116</f>
        <v>-0.10179745333111721</v>
      </c>
      <c r="AQ64" s="507">
        <f t="shared" si="183"/>
        <v>-4.3861456576719977E-2</v>
      </c>
      <c r="AR64" s="507">
        <f t="shared" si="183"/>
        <v>2.8092672827103198E-2</v>
      </c>
      <c r="AS64" s="507">
        <f t="shared" si="183"/>
        <v>6.3369502507418143E-2</v>
      </c>
      <c r="AU64" s="507">
        <v>-5.3916110601235759E-2</v>
      </c>
      <c r="AX64" s="507"/>
      <c r="AY64" s="507" t="e">
        <f t="shared" ref="AY64:BX64" si="184">+$BR$114*AY57+AY62*$BR$115+AY6*$BR$116</f>
        <v>#DIV/0!</v>
      </c>
      <c r="AZ64" s="507" t="e">
        <f t="shared" si="184"/>
        <v>#DIV/0!</v>
      </c>
      <c r="BA64" s="507" t="e">
        <f t="shared" si="184"/>
        <v>#DIV/0!</v>
      </c>
      <c r="BB64" s="507" t="e">
        <f t="shared" si="184"/>
        <v>#DIV/0!</v>
      </c>
      <c r="BC64" s="507" t="e">
        <f t="shared" si="184"/>
        <v>#DIV/0!</v>
      </c>
      <c r="BD64" s="507" t="e">
        <f t="shared" si="184"/>
        <v>#DIV/0!</v>
      </c>
      <c r="BE64" s="507" t="e">
        <f t="shared" si="184"/>
        <v>#DIV/0!</v>
      </c>
      <c r="BF64" s="507" t="e">
        <f t="shared" si="184"/>
        <v>#DIV/0!</v>
      </c>
      <c r="BG64" s="507" t="e">
        <f t="shared" si="184"/>
        <v>#DIV/0!</v>
      </c>
      <c r="BH64" s="507" t="e">
        <f t="shared" si="184"/>
        <v>#DIV/0!</v>
      </c>
      <c r="BI64" s="507" t="e">
        <f t="shared" si="184"/>
        <v>#DIV/0!</v>
      </c>
      <c r="BJ64" s="507" t="e">
        <f t="shared" si="184"/>
        <v>#DIV/0!</v>
      </c>
      <c r="BK64" s="507" t="e">
        <f t="shared" si="184"/>
        <v>#DIV/0!</v>
      </c>
      <c r="BL64" s="507" t="e">
        <f t="shared" si="184"/>
        <v>#DIV/0!</v>
      </c>
      <c r="BM64" s="507">
        <f t="shared" si="184"/>
        <v>6.5744402285631658E-3</v>
      </c>
      <c r="BN64" s="507">
        <f t="shared" si="184"/>
        <v>5.6538121310627694E-2</v>
      </c>
      <c r="BO64" s="507">
        <f t="shared" si="184"/>
        <v>-7.2639984426128706E-2</v>
      </c>
      <c r="BP64" s="507">
        <f t="shared" si="184"/>
        <v>2.6645955400281397E-2</v>
      </c>
      <c r="BQ64" s="507">
        <f t="shared" si="184"/>
        <v>0.21894532814543882</v>
      </c>
      <c r="BR64" s="507">
        <f t="shared" si="184"/>
        <v>0.19798070359630712</v>
      </c>
      <c r="BS64" s="507">
        <f t="shared" si="184"/>
        <v>-0.10237320575297876</v>
      </c>
      <c r="BT64" s="507">
        <f t="shared" si="184"/>
        <v>-0.1862467252635677</v>
      </c>
      <c r="BU64" s="507">
        <f t="shared" si="184"/>
        <v>0.47701850251220579</v>
      </c>
      <c r="BV64" s="507">
        <f t="shared" si="184"/>
        <v>0.24311830488437119</v>
      </c>
      <c r="BW64" s="507">
        <f t="shared" si="184"/>
        <v>-0.16034518834890943</v>
      </c>
      <c r="BX64" s="507">
        <f t="shared" si="184"/>
        <v>2.1840335861432074E-2</v>
      </c>
      <c r="BY64" s="507">
        <f t="shared" ref="BY64:CD64" si="185">+$BR$114*BY57+BY62*$BR$115+BY6*$BR$116</f>
        <v>-4.4540907093468998E-3</v>
      </c>
      <c r="BZ64" s="507">
        <f t="shared" ref="BZ64" si="186">+$BR$114*BZ57+BZ62*$BR$115+BZ6*$BR$116</f>
        <v>-2.0589021005449862E-2</v>
      </c>
      <c r="CA64" s="507">
        <f t="shared" si="185"/>
        <v>2.2191757841873341E-2</v>
      </c>
      <c r="CB64" s="507">
        <f t="shared" si="185"/>
        <v>2.0185294117646829E-2</v>
      </c>
      <c r="CC64" s="507">
        <f t="shared" si="185"/>
        <v>2.0185294117646829E-2</v>
      </c>
      <c r="CD64" s="507">
        <f t="shared" si="185"/>
        <v>2.0185294117647079E-2</v>
      </c>
    </row>
    <row r="65" spans="1:82" s="501" customFormat="1" ht="17.25" customHeight="1">
      <c r="A65" s="489" t="s">
        <v>213</v>
      </c>
      <c r="V65" s="506">
        <f t="shared" ref="V65:AO65" si="187">+$BR$114*U55+V60*$BR$115+V6*$BR$116</f>
        <v>8.2674743009904225E-2</v>
      </c>
      <c r="W65" s="506">
        <f t="shared" si="187"/>
        <v>0.46922835274372626</v>
      </c>
      <c r="X65" s="506">
        <f t="shared" si="187"/>
        <v>0.44055950021649837</v>
      </c>
      <c r="Y65" s="506">
        <f t="shared" si="187"/>
        <v>0.54235250894838638</v>
      </c>
      <c r="Z65" s="506">
        <f t="shared" si="187"/>
        <v>0.40230098259021252</v>
      </c>
      <c r="AA65" s="506">
        <f t="shared" si="187"/>
        <v>0.44321759975963881</v>
      </c>
      <c r="AB65" s="506">
        <f t="shared" si="187"/>
        <v>0.23744330377567147</v>
      </c>
      <c r="AC65" s="506">
        <f t="shared" si="187"/>
        <v>0.13331607776716864</v>
      </c>
      <c r="AD65" s="506">
        <f t="shared" si="187"/>
        <v>7.6860399454258349E-2</v>
      </c>
      <c r="AE65" s="506">
        <f t="shared" si="187"/>
        <v>-4.9591062425776516E-2</v>
      </c>
      <c r="AF65" s="506">
        <f t="shared" si="187"/>
        <v>-7.3147445369095537E-2</v>
      </c>
      <c r="AG65" s="506">
        <f t="shared" si="187"/>
        <v>-0.1446788898546727</v>
      </c>
      <c r="AH65" s="506">
        <f t="shared" si="187"/>
        <v>-0.10617092751216534</v>
      </c>
      <c r="AI65" s="506">
        <f t="shared" si="187"/>
        <v>-7.8912636367995549E-3</v>
      </c>
      <c r="AJ65" s="506">
        <f t="shared" si="187"/>
        <v>5.6453244147333097E-2</v>
      </c>
      <c r="AK65" s="506">
        <f t="shared" si="187"/>
        <v>0.18989598924021833</v>
      </c>
      <c r="AL65" s="506">
        <f t="shared" si="187"/>
        <v>5.1975661579443624E-2</v>
      </c>
      <c r="AM65" s="506">
        <f t="shared" si="187"/>
        <v>-8.6788236583978523E-2</v>
      </c>
      <c r="AN65" s="506">
        <f t="shared" si="187"/>
        <v>-8.4814353303541548E-2</v>
      </c>
      <c r="AO65" s="506">
        <f t="shared" si="187"/>
        <v>-0.13182380792296636</v>
      </c>
      <c r="AP65" s="506">
        <f t="shared" ref="AP65:AS65" si="188">+$BR$114*AO55+AP60*$BR$115+AP6*$BR$116</f>
        <v>-3.5826081371248791E-2</v>
      </c>
      <c r="AQ65" s="506">
        <f t="shared" si="188"/>
        <v>5.217274978205038E-2</v>
      </c>
      <c r="AR65" s="506">
        <f t="shared" si="188"/>
        <v>2.964792677347889E-2</v>
      </c>
      <c r="AS65" s="506">
        <f t="shared" si="188"/>
        <v>0.10802352233895082</v>
      </c>
      <c r="AU65" s="506">
        <v>-5.9841602502756552E-2</v>
      </c>
    </row>
    <row r="66" spans="1:82" s="479" customFormat="1" ht="17.25" customHeight="1">
      <c r="F66" s="508"/>
      <c r="G66" s="508"/>
      <c r="H66" s="508"/>
      <c r="I66" s="508"/>
      <c r="J66" s="508"/>
      <c r="K66" s="508"/>
      <c r="L66" s="508"/>
      <c r="M66" s="508"/>
      <c r="N66" s="508"/>
      <c r="O66" s="508"/>
      <c r="P66" s="508"/>
      <c r="Q66" s="508"/>
      <c r="R66" s="508"/>
      <c r="S66" s="508"/>
      <c r="T66" s="508"/>
      <c r="U66" s="508"/>
      <c r="V66" s="508"/>
      <c r="W66" s="508"/>
      <c r="X66" s="508"/>
      <c r="Y66" s="508"/>
      <c r="Z66" s="508"/>
      <c r="AA66" s="508"/>
      <c r="AB66" s="508"/>
      <c r="AC66" s="508"/>
      <c r="AD66" s="508"/>
      <c r="AE66" s="508"/>
      <c r="AF66" s="508"/>
      <c r="AG66" s="508"/>
      <c r="AH66" s="508"/>
      <c r="AI66" s="508"/>
      <c r="AJ66" s="508"/>
      <c r="AK66" s="508"/>
      <c r="AL66" s="508"/>
      <c r="AM66" s="508"/>
      <c r="AN66" s="508"/>
      <c r="AO66" s="508"/>
      <c r="AP66" s="509"/>
      <c r="AQ66" s="509"/>
      <c r="AR66" s="509"/>
      <c r="AS66" s="509"/>
      <c r="AU66" s="509"/>
      <c r="AX66" s="509"/>
      <c r="AY66" s="509"/>
      <c r="AZ66" s="509"/>
      <c r="BA66" s="509"/>
      <c r="BB66" s="509"/>
      <c r="BC66" s="509"/>
      <c r="BD66" s="509"/>
      <c r="BE66" s="509"/>
      <c r="BF66" s="509"/>
      <c r="BG66" s="509"/>
      <c r="BH66" s="509"/>
      <c r="BI66" s="509"/>
      <c r="BJ66" s="509"/>
      <c r="BK66" s="509"/>
      <c r="BL66" s="509"/>
      <c r="BM66" s="509"/>
      <c r="BN66" s="509"/>
      <c r="BO66" s="509"/>
      <c r="BP66" s="509"/>
      <c r="BQ66" s="509"/>
      <c r="BR66" s="509"/>
      <c r="BS66" s="509"/>
      <c r="BT66" s="509"/>
      <c r="BU66" s="509"/>
      <c r="BV66" s="509"/>
      <c r="BW66" s="509"/>
      <c r="BX66" s="509"/>
      <c r="BY66" s="509"/>
      <c r="BZ66" s="509"/>
      <c r="CA66" s="510"/>
      <c r="CB66" s="510"/>
      <c r="CC66" s="510"/>
      <c r="CD66" s="510"/>
    </row>
    <row r="67" spans="1:82" s="512" customFormat="1" ht="17.25" customHeight="1">
      <c r="A67" s="511" t="s">
        <v>3</v>
      </c>
      <c r="B67" s="512">
        <f t="shared" ref="B67:AI67" si="189">+B22+B11</f>
        <v>3436.4129999999986</v>
      </c>
      <c r="C67" s="512">
        <f t="shared" si="189"/>
        <v>3452.976999999999</v>
      </c>
      <c r="D67" s="512">
        <f t="shared" si="189"/>
        <v>3344.6610000000001</v>
      </c>
      <c r="E67" s="512">
        <f t="shared" si="189"/>
        <v>3550.8819999999996</v>
      </c>
      <c r="F67" s="512">
        <f t="shared" si="189"/>
        <v>3384.6679999999997</v>
      </c>
      <c r="G67" s="512">
        <f t="shared" si="189"/>
        <v>3399.3550000000005</v>
      </c>
      <c r="H67" s="512">
        <f t="shared" si="189"/>
        <v>3204.6980000000003</v>
      </c>
      <c r="I67" s="512">
        <f t="shared" si="189"/>
        <v>3413.2699999999995</v>
      </c>
      <c r="J67" s="512">
        <f t="shared" si="189"/>
        <v>3725.9709999999995</v>
      </c>
      <c r="K67" s="512">
        <f t="shared" si="189"/>
        <v>3814.5829999999996</v>
      </c>
      <c r="L67" s="512">
        <f t="shared" si="189"/>
        <v>3357.6319999999996</v>
      </c>
      <c r="M67" s="512">
        <f t="shared" si="189"/>
        <v>3442.38</v>
      </c>
      <c r="N67" s="512">
        <f t="shared" si="189"/>
        <v>3875</v>
      </c>
      <c r="O67" s="512">
        <f t="shared" si="189"/>
        <v>4198.5129999999999</v>
      </c>
      <c r="P67" s="512">
        <f t="shared" si="189"/>
        <v>3985.3869999999997</v>
      </c>
      <c r="Q67" s="512">
        <f t="shared" si="189"/>
        <v>4262.5209999999997</v>
      </c>
      <c r="R67" s="512">
        <f t="shared" si="189"/>
        <v>4624.6989999999996</v>
      </c>
      <c r="S67" s="512">
        <f t="shared" si="189"/>
        <v>4720.0990000000002</v>
      </c>
      <c r="T67" s="512">
        <f t="shared" si="189"/>
        <v>4203.1630000000005</v>
      </c>
      <c r="U67" s="512">
        <f t="shared" si="189"/>
        <v>4461.3130000000001</v>
      </c>
      <c r="V67" s="512">
        <f t="shared" si="189"/>
        <v>4662.9919999999993</v>
      </c>
      <c r="W67" s="512">
        <f t="shared" si="189"/>
        <v>4043.6760000000004</v>
      </c>
      <c r="X67" s="512">
        <f t="shared" si="189"/>
        <v>3598.3319999999994</v>
      </c>
      <c r="Y67" s="512">
        <f t="shared" si="189"/>
        <v>3480.6759999999995</v>
      </c>
      <c r="Z67" s="512">
        <f t="shared" si="189"/>
        <v>3937.5380000000005</v>
      </c>
      <c r="AA67" s="512">
        <f t="shared" si="189"/>
        <v>4155.7569999999996</v>
      </c>
      <c r="AB67" s="512">
        <f t="shared" si="189"/>
        <v>4244.3819999999996</v>
      </c>
      <c r="AC67" s="512">
        <f t="shared" si="189"/>
        <v>4434.8050000000003</v>
      </c>
      <c r="AD67" s="512">
        <f t="shared" si="189"/>
        <v>4922.3719999999994</v>
      </c>
      <c r="AE67" s="512">
        <f t="shared" si="189"/>
        <v>5236.2980000000007</v>
      </c>
      <c r="AF67" s="512">
        <f t="shared" si="189"/>
        <v>5090.5449999999992</v>
      </c>
      <c r="AG67" s="512">
        <f t="shared" si="189"/>
        <v>5450.8240000000005</v>
      </c>
      <c r="AH67" s="512">
        <f t="shared" si="189"/>
        <v>5828.570999999999</v>
      </c>
      <c r="AI67" s="512">
        <f t="shared" si="189"/>
        <v>5954.4120000000003</v>
      </c>
      <c r="AJ67" s="512">
        <f t="shared" ref="AJ67:AK67" si="190">+AJ22+AJ11</f>
        <v>5211.7340000000004</v>
      </c>
      <c r="AK67" s="512">
        <f t="shared" si="190"/>
        <v>5389.0110000000004</v>
      </c>
      <c r="AL67" s="512">
        <f t="shared" ref="AL67:AM67" si="191">+AL22+AL11</f>
        <v>5283</v>
      </c>
      <c r="AM67" s="512">
        <f t="shared" si="191"/>
        <v>5375.9249999999993</v>
      </c>
      <c r="AN67" s="512">
        <f t="shared" ref="AN67" si="192">+AN22+AN11</f>
        <v>5191.6939999999995</v>
      </c>
      <c r="AO67" s="512">
        <f>+AO22+AO11</f>
        <v>5680.0390000000007</v>
      </c>
      <c r="AP67" s="513">
        <f t="shared" ref="AP67:AS67" si="193">+AP22+AP11</f>
        <v>5579.4730314449262</v>
      </c>
      <c r="AQ67" s="513">
        <f t="shared" si="193"/>
        <v>5779.6810635199781</v>
      </c>
      <c r="AR67" s="513">
        <f t="shared" si="193"/>
        <v>5389.603480305148</v>
      </c>
      <c r="AS67" s="513">
        <f t="shared" si="193"/>
        <v>5939.4918235789792</v>
      </c>
      <c r="AT67" s="485">
        <v>0.38717375093214018</v>
      </c>
      <c r="AU67" s="513">
        <v>5556.2076398275331</v>
      </c>
      <c r="AX67" s="512">
        <f t="shared" ref="AX67:CD67" si="194">+AX22+AX11</f>
        <v>5077.1750000000002</v>
      </c>
      <c r="AY67" s="512">
        <f t="shared" si="194"/>
        <v>6039.3519999999999</v>
      </c>
      <c r="AZ67" s="512">
        <f t="shared" si="194"/>
        <v>6844.9869999999992</v>
      </c>
      <c r="BA67" s="512">
        <f t="shared" si="194"/>
        <v>6836.8600000000006</v>
      </c>
      <c r="BB67" s="512">
        <f t="shared" si="194"/>
        <v>6799.9480000000003</v>
      </c>
      <c r="BC67" s="512">
        <f t="shared" si="194"/>
        <v>6830.9770000000026</v>
      </c>
      <c r="BD67" s="512">
        <f t="shared" si="194"/>
        <v>7491.2999999999993</v>
      </c>
      <c r="BE67" s="512">
        <f t="shared" si="194"/>
        <v>8304.4950000000008</v>
      </c>
      <c r="BF67" s="512">
        <f t="shared" si="194"/>
        <v>8757.8200000000015</v>
      </c>
      <c r="BG67" s="512">
        <f t="shared" si="194"/>
        <v>8797.1620000000003</v>
      </c>
      <c r="BH67" s="512">
        <f t="shared" si="194"/>
        <v>9218.3210000000017</v>
      </c>
      <c r="BI67" s="512">
        <f t="shared" si="194"/>
        <v>10137.453999999998</v>
      </c>
      <c r="BJ67" s="512">
        <f t="shared" si="194"/>
        <v>10555.893</v>
      </c>
      <c r="BK67" s="512">
        <f t="shared" si="194"/>
        <v>9678.3830000000016</v>
      </c>
      <c r="BL67" s="512">
        <f t="shared" si="194"/>
        <v>11332.32</v>
      </c>
      <c r="BM67" s="512">
        <f t="shared" si="194"/>
        <v>11917.525999999998</v>
      </c>
      <c r="BN67" s="512">
        <f t="shared" si="194"/>
        <v>10727.120999999999</v>
      </c>
      <c r="BO67" s="512">
        <f t="shared" si="194"/>
        <v>12427.777000000002</v>
      </c>
      <c r="BP67" s="512">
        <f t="shared" si="194"/>
        <v>13784.932999999997</v>
      </c>
      <c r="BQ67" s="512">
        <f t="shared" si="194"/>
        <v>13401.990999999995</v>
      </c>
      <c r="BR67" s="512">
        <f t="shared" si="194"/>
        <v>14340.566000000003</v>
      </c>
      <c r="BS67" s="512">
        <f t="shared" si="194"/>
        <v>16321.421000000002</v>
      </c>
      <c r="BT67" s="512">
        <f t="shared" si="194"/>
        <v>18009.274000000005</v>
      </c>
      <c r="BU67" s="512">
        <f t="shared" si="194"/>
        <v>15785.675999999992</v>
      </c>
      <c r="BV67" s="512">
        <f>+BV22+BV11</f>
        <v>16772.482000000004</v>
      </c>
      <c r="BW67" s="512">
        <f t="shared" si="194"/>
        <v>20700.039000000004</v>
      </c>
      <c r="BX67" s="512">
        <f t="shared" si="194"/>
        <v>22383.727999999996</v>
      </c>
      <c r="BY67" s="512">
        <f>+BY22+BY11</f>
        <v>21530.657999999996</v>
      </c>
      <c r="BZ67" s="512">
        <f>+BZ22+BZ11</f>
        <v>22688.249398849031</v>
      </c>
      <c r="CA67" s="514">
        <f t="shared" si="194"/>
        <v>22998.763643856342</v>
      </c>
      <c r="CB67" s="514">
        <f t="shared" si="194"/>
        <v>23372.096239180777</v>
      </c>
      <c r="CC67" s="514">
        <f t="shared" si="194"/>
        <v>23746.078650858195</v>
      </c>
      <c r="CD67" s="514">
        <f t="shared" si="194"/>
        <v>24121.061946219765</v>
      </c>
    </row>
    <row r="68" spans="1:82" s="479" customFormat="1" ht="17.25" customHeight="1">
      <c r="A68" s="515" t="s">
        <v>214</v>
      </c>
      <c r="B68" s="516">
        <f t="shared" ref="B68:M68" si="195">1-B23</f>
        <v>0.39370854656172538</v>
      </c>
      <c r="C68" s="516">
        <f t="shared" si="195"/>
        <v>0.39099071229516014</v>
      </c>
      <c r="D68" s="516">
        <f t="shared" si="195"/>
        <v>0.38358592742644404</v>
      </c>
      <c r="E68" s="516">
        <f t="shared" si="195"/>
        <v>0.37851171623831914</v>
      </c>
      <c r="F68" s="516">
        <f t="shared" si="195"/>
        <v>0.35514035558230472</v>
      </c>
      <c r="G68" s="516">
        <f t="shared" si="195"/>
        <v>0.35388180499390742</v>
      </c>
      <c r="H68" s="516">
        <f t="shared" si="195"/>
        <v>0.34844055169045474</v>
      </c>
      <c r="I68" s="516">
        <f t="shared" si="195"/>
        <v>0.36187851512835756</v>
      </c>
      <c r="J68" s="516">
        <f t="shared" si="195"/>
        <v>0.36503124342992532</v>
      </c>
      <c r="K68" s="516">
        <f t="shared" si="195"/>
        <v>0.36025383152708224</v>
      </c>
      <c r="L68" s="516">
        <f t="shared" si="195"/>
        <v>0.3392575527937759</v>
      </c>
      <c r="M68" s="516">
        <f t="shared" si="195"/>
        <v>0.33311205728662663</v>
      </c>
      <c r="N68" s="516">
        <f t="shared" ref="N68:AI68" si="196">+N67/N11</f>
        <v>0.35182495006355546</v>
      </c>
      <c r="O68" s="516">
        <f t="shared" si="196"/>
        <v>0.37201306157428421</v>
      </c>
      <c r="P68" s="516">
        <f t="shared" si="196"/>
        <v>0.38321028846153843</v>
      </c>
      <c r="Q68" s="516">
        <f t="shared" si="196"/>
        <v>0.39464132950652714</v>
      </c>
      <c r="R68" s="516">
        <f t="shared" si="196"/>
        <v>0.39553582470695514</v>
      </c>
      <c r="S68" s="516">
        <f t="shared" si="196"/>
        <v>0.38258895270010951</v>
      </c>
      <c r="T68" s="516">
        <f t="shared" si="196"/>
        <v>0.37876164074657576</v>
      </c>
      <c r="U68" s="516">
        <f t="shared" si="196"/>
        <v>0.3853840253850136</v>
      </c>
      <c r="V68" s="516">
        <f t="shared" si="196"/>
        <v>0.38508548078248378</v>
      </c>
      <c r="W68" s="516">
        <f t="shared" si="196"/>
        <v>0.34495826643046562</v>
      </c>
      <c r="X68" s="516">
        <f t="shared" si="196"/>
        <v>0.3172156011950466</v>
      </c>
      <c r="Y68" s="516">
        <f t="shared" si="196"/>
        <v>0.29700435419389387</v>
      </c>
      <c r="Z68" s="516">
        <f t="shared" si="196"/>
        <v>0.31314919675520919</v>
      </c>
      <c r="AA68" s="516">
        <f t="shared" si="196"/>
        <v>0.32228059268043702</v>
      </c>
      <c r="AB68" s="516">
        <f t="shared" si="196"/>
        <v>0.3317478505549476</v>
      </c>
      <c r="AC68" s="516">
        <f t="shared" si="196"/>
        <v>0.3466848707027459</v>
      </c>
      <c r="AD68" s="516">
        <f t="shared" si="196"/>
        <v>0.36330149826555463</v>
      </c>
      <c r="AE68" s="516">
        <f t="shared" si="196"/>
        <v>0.38181934585147292</v>
      </c>
      <c r="AF68" s="516">
        <f t="shared" si="196"/>
        <v>0.40169826788733037</v>
      </c>
      <c r="AG68" s="516">
        <f t="shared" si="196"/>
        <v>0.40764726387012062</v>
      </c>
      <c r="AH68" s="516">
        <f t="shared" si="196"/>
        <v>0.42267946290158132</v>
      </c>
      <c r="AI68" s="516">
        <f t="shared" si="196"/>
        <v>0.4232593119135627</v>
      </c>
      <c r="AJ68" s="516">
        <f t="shared" ref="AJ68" si="197">+AJ67/AJ11</f>
        <v>0.39618990597687387</v>
      </c>
      <c r="AK68" s="516">
        <f t="shared" ref="AK68:AL68" si="198">+AK67/AK11</f>
        <v>0.39134449980915731</v>
      </c>
      <c r="AL68" s="516">
        <f t="shared" si="198"/>
        <v>0.38191281717631748</v>
      </c>
      <c r="AM68" s="516">
        <f t="shared" ref="AM68:AN68" si="199">+AM67/AM11</f>
        <v>0.38208422174840079</v>
      </c>
      <c r="AN68" s="516">
        <f t="shared" si="199"/>
        <v>0.38715093214019386</v>
      </c>
      <c r="AO68" s="516">
        <f t="shared" ref="AO68" si="200">+AO67/AO11</f>
        <v>0.40404527637680865</v>
      </c>
      <c r="AP68" s="517">
        <f t="shared" ref="AP68:AS68" si="201">+AP67/AP11</f>
        <v>0.39543639119900309</v>
      </c>
      <c r="AQ68" s="517">
        <f t="shared" si="201"/>
        <v>0.40076142378837371</v>
      </c>
      <c r="AR68" s="517">
        <f t="shared" si="201"/>
        <v>0.39210661721723133</v>
      </c>
      <c r="AS68" s="517">
        <f t="shared" si="201"/>
        <v>0.41219634796405941</v>
      </c>
      <c r="AU68" s="517">
        <v>0.39752330030000477</v>
      </c>
      <c r="AW68" s="516"/>
      <c r="AX68" s="516">
        <f t="shared" ref="AX68:CD68" si="202">+AX67/AX11</f>
        <v>0.41312353098840443</v>
      </c>
      <c r="AY68" s="516">
        <f t="shared" si="202"/>
        <v>0.43548134721235354</v>
      </c>
      <c r="AZ68" s="516">
        <f t="shared" si="202"/>
        <v>0.43032981621078437</v>
      </c>
      <c r="BA68" s="516">
        <f t="shared" si="202"/>
        <v>0.43730840980417307</v>
      </c>
      <c r="BB68" s="516">
        <f t="shared" si="202"/>
        <v>0.42246092827801124</v>
      </c>
      <c r="BC68" s="516">
        <f t="shared" si="202"/>
        <v>0.39946839121882372</v>
      </c>
      <c r="BD68" s="516">
        <f t="shared" si="202"/>
        <v>0.37836933338094536</v>
      </c>
      <c r="BE68" s="516">
        <f t="shared" si="202"/>
        <v>0.37776699879734965</v>
      </c>
      <c r="BF68" s="516">
        <f t="shared" si="202"/>
        <v>0.43604930216736598</v>
      </c>
      <c r="BG68" s="516">
        <f t="shared" si="202"/>
        <v>0.40954686106058535</v>
      </c>
      <c r="BH68" s="516">
        <f t="shared" si="202"/>
        <v>0.39990075275723663</v>
      </c>
      <c r="BI68" s="516">
        <f t="shared" si="202"/>
        <v>0.41038656991255879</v>
      </c>
      <c r="BJ68" s="516">
        <f t="shared" si="202"/>
        <v>0.40295021640088896</v>
      </c>
      <c r="BK68" s="516">
        <f t="shared" si="202"/>
        <v>0.36204714708748564</v>
      </c>
      <c r="BL68" s="516">
        <f t="shared" si="202"/>
        <v>0.38691879912700583</v>
      </c>
      <c r="BM68" s="516">
        <f t="shared" si="202"/>
        <v>0.40156750315626139</v>
      </c>
      <c r="BN68" s="516">
        <f t="shared" si="202"/>
        <v>0.36854279643354093</v>
      </c>
      <c r="BO68" s="516">
        <f t="shared" si="202"/>
        <v>0.38588109991376207</v>
      </c>
      <c r="BP68" s="516">
        <f t="shared" si="202"/>
        <v>0.38656250600282466</v>
      </c>
      <c r="BQ68" s="516">
        <f t="shared" si="202"/>
        <v>0.35487147617312603</v>
      </c>
      <c r="BR68" s="516">
        <f t="shared" si="202"/>
        <v>0.34954087643647347</v>
      </c>
      <c r="BS68" s="516">
        <f t="shared" si="202"/>
        <v>0.37519706763044075</v>
      </c>
      <c r="BT68" s="516">
        <f t="shared" si="202"/>
        <v>0.38561365414285353</v>
      </c>
      <c r="BU68" s="516">
        <f t="shared" si="202"/>
        <v>0.33662490841305082</v>
      </c>
      <c r="BV68" s="516">
        <f t="shared" si="202"/>
        <v>0.32851870994652893</v>
      </c>
      <c r="BW68" s="516">
        <f t="shared" si="202"/>
        <v>0.38831706963209789</v>
      </c>
      <c r="BX68" s="516">
        <f t="shared" si="202"/>
        <v>0.40859105253943495</v>
      </c>
      <c r="BY68" s="516">
        <f>+BY67/BY11</f>
        <v>0.38884409502481326</v>
      </c>
      <c r="BZ68" s="516">
        <f>+BZ67/BZ11</f>
        <v>0.40024406943978919</v>
      </c>
      <c r="CA68" s="518">
        <f t="shared" si="202"/>
        <v>0.3977665296993812</v>
      </c>
      <c r="CB68" s="518">
        <f t="shared" si="202"/>
        <v>0.39629741589508322</v>
      </c>
      <c r="CC68" s="518">
        <f t="shared" si="202"/>
        <v>0.39474378833400969</v>
      </c>
      <c r="CD68" s="518">
        <f t="shared" si="202"/>
        <v>0.39311503584828622</v>
      </c>
    </row>
    <row r="69" spans="1:82" s="522" customFormat="1" ht="17.25" customHeight="1">
      <c r="A69" s="519"/>
      <c r="B69" s="520"/>
      <c r="C69" s="520"/>
      <c r="D69" s="520"/>
      <c r="E69" s="520"/>
      <c r="F69" s="520"/>
      <c r="G69" s="520"/>
      <c r="H69" s="520"/>
      <c r="I69" s="520"/>
      <c r="J69" s="520"/>
      <c r="K69" s="520"/>
      <c r="L69" s="520"/>
      <c r="M69" s="520"/>
      <c r="N69" s="520"/>
      <c r="O69" s="520"/>
      <c r="P69" s="520"/>
      <c r="Q69" s="520"/>
      <c r="R69" s="520"/>
      <c r="S69" s="520"/>
      <c r="T69" s="520"/>
      <c r="U69" s="520"/>
      <c r="V69" s="520"/>
      <c r="W69" s="520">
        <f t="shared" ref="W69:AO69" si="203">+W68-S68</f>
        <v>-3.7630686269643887E-2</v>
      </c>
      <c r="X69" s="520">
        <f t="shared" si="203"/>
        <v>-6.1546039551529153E-2</v>
      </c>
      <c r="Y69" s="520">
        <f t="shared" si="203"/>
        <v>-8.8379671191119724E-2</v>
      </c>
      <c r="Z69" s="520">
        <f t="shared" si="203"/>
        <v>-7.1936284027274588E-2</v>
      </c>
      <c r="AA69" s="520">
        <f t="shared" si="203"/>
        <v>-2.2677673750028604E-2</v>
      </c>
      <c r="AB69" s="520">
        <f t="shared" si="203"/>
        <v>1.4532249359900995E-2</v>
      </c>
      <c r="AC69" s="520">
        <f t="shared" si="203"/>
        <v>4.9680516508852024E-2</v>
      </c>
      <c r="AD69" s="520">
        <f t="shared" si="203"/>
        <v>5.0152301510345443E-2</v>
      </c>
      <c r="AE69" s="520">
        <f t="shared" si="203"/>
        <v>5.9538753171035907E-2</v>
      </c>
      <c r="AF69" s="520">
        <f t="shared" si="203"/>
        <v>6.9950417332382775E-2</v>
      </c>
      <c r="AG69" s="520">
        <f t="shared" si="203"/>
        <v>6.0962393167374729E-2</v>
      </c>
      <c r="AH69" s="520">
        <f t="shared" si="203"/>
        <v>5.9377964636026681E-2</v>
      </c>
      <c r="AI69" s="520">
        <f t="shared" si="203"/>
        <v>4.1439966062089773E-2</v>
      </c>
      <c r="AJ69" s="520">
        <f t="shared" si="203"/>
        <v>-5.5083619104565051E-3</v>
      </c>
      <c r="AK69" s="520">
        <f t="shared" si="203"/>
        <v>-1.6302764060963315E-2</v>
      </c>
      <c r="AL69" s="520">
        <f t="shared" si="203"/>
        <v>-4.0766645725263839E-2</v>
      </c>
      <c r="AM69" s="520">
        <f t="shared" si="203"/>
        <v>-4.1175090165161909E-2</v>
      </c>
      <c r="AN69" s="520">
        <f t="shared" si="203"/>
        <v>-9.0389738366800088E-3</v>
      </c>
      <c r="AO69" s="520">
        <f t="shared" si="203"/>
        <v>1.270077656765134E-2</v>
      </c>
      <c r="AP69" s="521">
        <f t="shared" ref="AP69" si="204">+AP68-AL68</f>
        <v>1.3523574022685614E-2</v>
      </c>
      <c r="AQ69" s="521">
        <f t="shared" ref="AQ69" si="205">+AQ68-AM68</f>
        <v>1.8677202039972918E-2</v>
      </c>
      <c r="AR69" s="521">
        <f t="shared" ref="AR69" si="206">+AR68-AN68</f>
        <v>4.955685077037475E-3</v>
      </c>
      <c r="AS69" s="521">
        <f t="shared" ref="AS69" si="207">+AS68-AO68</f>
        <v>8.1510715872507578E-3</v>
      </c>
      <c r="AU69" s="521">
        <v>6.1788004908474581E-3</v>
      </c>
      <c r="AW69" s="520"/>
      <c r="AX69" s="520">
        <f t="shared" ref="AX69:BW69" si="208">+AX68-AW68</f>
        <v>0.41312353098840443</v>
      </c>
      <c r="AY69" s="520">
        <f t="shared" si="208"/>
        <v>2.2357816223949112E-2</v>
      </c>
      <c r="AZ69" s="520">
        <f t="shared" si="208"/>
        <v>-5.1515310015691762E-3</v>
      </c>
      <c r="BA69" s="520">
        <f t="shared" si="208"/>
        <v>6.9785935933887044E-3</v>
      </c>
      <c r="BB69" s="520">
        <f t="shared" si="208"/>
        <v>-1.4847481526161832E-2</v>
      </c>
      <c r="BC69" s="520">
        <f t="shared" si="208"/>
        <v>-2.2992537059187523E-2</v>
      </c>
      <c r="BD69" s="520">
        <f t="shared" si="208"/>
        <v>-2.1099057837878354E-2</v>
      </c>
      <c r="BE69" s="520">
        <f t="shared" si="208"/>
        <v>-6.0233458359570946E-4</v>
      </c>
      <c r="BF69" s="520">
        <f t="shared" si="208"/>
        <v>5.8282303370016331E-2</v>
      </c>
      <c r="BG69" s="520">
        <f t="shared" si="208"/>
        <v>-2.6502441106780628E-2</v>
      </c>
      <c r="BH69" s="520">
        <f t="shared" si="208"/>
        <v>-9.6461083033487216E-3</v>
      </c>
      <c r="BI69" s="520">
        <f t="shared" si="208"/>
        <v>1.0485817155322152E-2</v>
      </c>
      <c r="BJ69" s="520">
        <f t="shared" si="208"/>
        <v>-7.4363535116698243E-3</v>
      </c>
      <c r="BK69" s="520">
        <f t="shared" si="208"/>
        <v>-4.0903069313403317E-2</v>
      </c>
      <c r="BL69" s="520">
        <f t="shared" si="208"/>
        <v>2.4871652039520187E-2</v>
      </c>
      <c r="BM69" s="520">
        <f t="shared" si="208"/>
        <v>1.4648704029255555E-2</v>
      </c>
      <c r="BN69" s="520">
        <f t="shared" si="208"/>
        <v>-3.3024706722720454E-2</v>
      </c>
      <c r="BO69" s="520">
        <f t="shared" si="208"/>
        <v>1.733830348022114E-2</v>
      </c>
      <c r="BP69" s="520">
        <f t="shared" si="208"/>
        <v>6.8140608906258615E-4</v>
      </c>
      <c r="BQ69" s="520">
        <f t="shared" si="208"/>
        <v>-3.1691029829698625E-2</v>
      </c>
      <c r="BR69" s="520">
        <f t="shared" si="208"/>
        <v>-5.3305997366525637E-3</v>
      </c>
      <c r="BS69" s="520">
        <f t="shared" si="208"/>
        <v>2.5656191193967282E-2</v>
      </c>
      <c r="BT69" s="520">
        <f t="shared" si="208"/>
        <v>1.0416586512412784E-2</v>
      </c>
      <c r="BU69" s="520">
        <f t="shared" si="208"/>
        <v>-4.8988745729802718E-2</v>
      </c>
      <c r="BV69" s="520">
        <f t="shared" si="208"/>
        <v>-8.1061984665218856E-3</v>
      </c>
      <c r="BW69" s="520">
        <f t="shared" si="208"/>
        <v>5.9798359685568958E-2</v>
      </c>
      <c r="BX69" s="520">
        <f t="shared" ref="BX69:CD69" si="209">+BX68-BW68</f>
        <v>2.0273982907337063E-2</v>
      </c>
      <c r="BY69" s="520">
        <f>+BY68-BX68</f>
        <v>-1.9746957514621688E-2</v>
      </c>
      <c r="BZ69" s="520">
        <f>+BZ68-BY68</f>
        <v>1.1399974414975922E-2</v>
      </c>
      <c r="CA69" s="521">
        <f t="shared" si="209"/>
        <v>-2.4775397404079857E-3</v>
      </c>
      <c r="CB69" s="521">
        <f t="shared" si="209"/>
        <v>-1.4691138042979834E-3</v>
      </c>
      <c r="CC69" s="521">
        <f t="shared" si="209"/>
        <v>-1.5536275610735228E-3</v>
      </c>
      <c r="CD69" s="521">
        <f t="shared" si="209"/>
        <v>-1.6287524857234725E-3</v>
      </c>
    </row>
    <row r="70" spans="1:82" ht="17.25" customHeight="1">
      <c r="F70" s="454"/>
      <c r="G70" s="454"/>
      <c r="H70" s="454"/>
      <c r="I70" s="454"/>
      <c r="J70" s="454"/>
      <c r="K70" s="454"/>
      <c r="L70" s="454"/>
      <c r="M70" s="454"/>
      <c r="N70" s="454"/>
      <c r="O70" s="454"/>
      <c r="P70" s="454"/>
      <c r="Q70" s="454"/>
      <c r="R70" s="454"/>
      <c r="S70" s="454"/>
      <c r="T70" s="454"/>
      <c r="U70" s="454"/>
      <c r="V70" s="454"/>
      <c r="W70" s="454"/>
      <c r="X70" s="454"/>
      <c r="Y70" s="454"/>
      <c r="Z70" s="454"/>
      <c r="AA70" s="454"/>
      <c r="AB70" s="454"/>
      <c r="AC70" s="454"/>
      <c r="AD70" s="454"/>
      <c r="AE70" s="454"/>
      <c r="AF70" s="454"/>
      <c r="AG70" s="454"/>
      <c r="AH70" s="454"/>
      <c r="AI70" s="454"/>
      <c r="AJ70" s="454"/>
      <c r="AK70" s="454"/>
      <c r="AL70" s="454"/>
      <c r="AM70" s="454"/>
      <c r="AN70" s="458"/>
      <c r="AO70" s="458"/>
      <c r="AP70" s="434"/>
      <c r="AQ70" s="434"/>
      <c r="AR70" s="434"/>
      <c r="AS70" s="434"/>
      <c r="AU70" s="434"/>
      <c r="AX70" s="433"/>
      <c r="AY70" s="433"/>
      <c r="AZ70" s="433"/>
      <c r="BA70" s="433"/>
      <c r="BB70" s="433"/>
      <c r="BC70" s="433"/>
      <c r="BD70" s="433"/>
      <c r="BE70" s="433"/>
      <c r="BF70" s="433"/>
      <c r="BG70" s="433"/>
      <c r="BH70" s="433"/>
      <c r="BI70" s="433"/>
      <c r="BJ70" s="433"/>
      <c r="BK70" s="433"/>
      <c r="BL70" s="433"/>
      <c r="BM70" s="433"/>
      <c r="BN70" s="433"/>
      <c r="BO70" s="433"/>
      <c r="BP70" s="433"/>
      <c r="BQ70" s="433"/>
      <c r="BR70" s="433"/>
      <c r="BS70" s="433"/>
      <c r="BT70" s="433"/>
      <c r="BU70" s="433"/>
      <c r="BV70" s="433"/>
      <c r="BW70" s="433"/>
      <c r="BX70" s="433"/>
      <c r="BY70" s="433"/>
      <c r="BZ70" s="433"/>
      <c r="CA70" s="434"/>
      <c r="CB70" s="434"/>
      <c r="CC70" s="434"/>
      <c r="CD70" s="434"/>
    </row>
    <row r="71" spans="1:82" s="479" customFormat="1" ht="17.25" customHeight="1">
      <c r="A71" s="479" t="str">
        <f>+PROJ!A8</f>
        <v>General &amp; Admininstrative Expenses</v>
      </c>
      <c r="B71" s="523">
        <f>+PROJ!B8</f>
        <v>-1385.9490000000001</v>
      </c>
      <c r="C71" s="523">
        <f>+PROJ!C8</f>
        <v>-1505.3440000000001</v>
      </c>
      <c r="D71" s="523">
        <f>+PROJ!D8</f>
        <v>-1298.673</v>
      </c>
      <c r="E71" s="523">
        <f>+PROJ!E8</f>
        <v>-1576.557</v>
      </c>
      <c r="F71" s="523">
        <f>+PROJ!F8</f>
        <v>-1556.5809999999999</v>
      </c>
      <c r="G71" s="523">
        <f>+PROJ!G8</f>
        <v>-1604.777</v>
      </c>
      <c r="H71" s="523">
        <f>+PROJ!H8</f>
        <v>-1642.9690000000001</v>
      </c>
      <c r="I71" s="523">
        <f>+PROJ!I8</f>
        <v>-1624.922</v>
      </c>
      <c r="J71" s="523">
        <f>+PROJ!J8</f>
        <v>-1707.779</v>
      </c>
      <c r="K71" s="523">
        <f>+PROJ!K8</f>
        <v>-1781.6980000000001</v>
      </c>
      <c r="L71" s="523">
        <f>+PROJ!L8</f>
        <v>-1666.096</v>
      </c>
      <c r="M71" s="523">
        <f>+PROJ!M8</f>
        <v>-1690.269</v>
      </c>
      <c r="N71" s="523">
        <f>+PROJ!N8</f>
        <v>-1817.2239999999999</v>
      </c>
      <c r="O71" s="523">
        <f>+PROJ!O8</f>
        <v>-1911.16</v>
      </c>
      <c r="P71" s="523">
        <f>+PROJ!P8</f>
        <v>-1837.3130000000001</v>
      </c>
      <c r="Q71" s="523">
        <f>+PROJ!Q8</f>
        <v>-1780.8960000000002</v>
      </c>
      <c r="R71" s="523">
        <f>+PROJ!R8</f>
        <v>-1925.931</v>
      </c>
      <c r="S71" s="523">
        <f>+PROJ!S8</f>
        <v>-1901.3049999999998</v>
      </c>
      <c r="T71" s="523">
        <f>+PROJ!T8</f>
        <v>-1844.3600000000001</v>
      </c>
      <c r="U71" s="523">
        <f>+PROJ!U8</f>
        <v>-1833.28</v>
      </c>
      <c r="V71" s="523">
        <f>+PROJ!V8</f>
        <v>-1923.2940000000001</v>
      </c>
      <c r="W71" s="523">
        <f>+PROJ!W8</f>
        <v>-1812.3690000000001</v>
      </c>
      <c r="X71" s="523">
        <f>+PROJ!X8</f>
        <v>-1865.837</v>
      </c>
      <c r="Y71" s="523">
        <f>+PROJ!Y8</f>
        <v>-1849.385</v>
      </c>
      <c r="Z71" s="523">
        <f>+PROJ!Z8</f>
        <v>-1935.4070000000002</v>
      </c>
      <c r="AA71" s="523">
        <f>+PROJ!AA8</f>
        <v>-2001.3110000000001</v>
      </c>
      <c r="AB71" s="523">
        <f>+PROJ!AB8</f>
        <v>-1999.336</v>
      </c>
      <c r="AC71" s="523">
        <f>+PROJ!AC8</f>
        <v>-1912.03</v>
      </c>
      <c r="AD71" s="523">
        <f>+PROJ!AD8</f>
        <v>-2142.9269999999997</v>
      </c>
      <c r="AE71" s="523">
        <f>+PROJ!AE8</f>
        <v>-2208.9229999999998</v>
      </c>
      <c r="AF71" s="523">
        <f>+PROJ!AF8</f>
        <v>-2148.085</v>
      </c>
      <c r="AG71" s="523">
        <f>+PROJ!AG8</f>
        <v>-2284.3609999999999</v>
      </c>
      <c r="AH71" s="523">
        <f>+PROJ!AH8</f>
        <v>-2436.328</v>
      </c>
      <c r="AI71" s="523">
        <f>+PROJ!AI8</f>
        <v>-2425.212</v>
      </c>
      <c r="AJ71" s="523">
        <f>+PROJ!AJ8</f>
        <v>-2258.3708999999999</v>
      </c>
      <c r="AK71" s="523">
        <f>+PROJ!AK8</f>
        <v>-2452.9790000000003</v>
      </c>
      <c r="AL71" s="523">
        <f>+PROJ!AL8</f>
        <v>-2307.3539999999998</v>
      </c>
      <c r="AM71" s="523">
        <f>+PROJ!AM8</f>
        <v>-2345.768</v>
      </c>
      <c r="AN71" s="523">
        <f>+PROJ!AN8</f>
        <v>-2344.1379999999999</v>
      </c>
      <c r="AO71" s="523">
        <f>+PROJ!AO8</f>
        <v>-2467.3040000000001</v>
      </c>
      <c r="AP71" s="524">
        <f t="shared" ref="AP71:AS71" si="210">+AL71*(1+AP73)</f>
        <v>-2388.1113899999996</v>
      </c>
      <c r="AQ71" s="524">
        <f t="shared" si="210"/>
        <v>-2427.8698799999997</v>
      </c>
      <c r="AR71" s="524">
        <f t="shared" si="210"/>
        <v>-2426.1828299999997</v>
      </c>
      <c r="AS71" s="524">
        <f t="shared" si="210"/>
        <v>-2553.6596399999999</v>
      </c>
      <c r="AU71" s="524">
        <v>-2452.9790000000003</v>
      </c>
      <c r="AW71" s="525">
        <f>+PROJ!AW8</f>
        <v>-1105.6320000000001</v>
      </c>
      <c r="AX71" s="525">
        <f>+PROJ!AX8</f>
        <v>-1286.713</v>
      </c>
      <c r="AY71" s="525">
        <f>+PROJ!AY8</f>
        <v>-1459.1759999999999</v>
      </c>
      <c r="AZ71" s="525">
        <f>+PROJ!AZ8</f>
        <v>-1757.692</v>
      </c>
      <c r="BA71" s="525">
        <f>+PROJ!BA8</f>
        <v>-1951.21</v>
      </c>
      <c r="BB71" s="525">
        <f>+PROJ!BB8</f>
        <v>-2097.2910000000002</v>
      </c>
      <c r="BC71" s="525">
        <f>+PROJ!BC8</f>
        <v>-2355.3629999999998</v>
      </c>
      <c r="BD71" s="525">
        <f>+PROJ!BD8</f>
        <v>-2668.549</v>
      </c>
      <c r="BE71" s="525">
        <f>+PROJ!BE8</f>
        <v>-2940.21</v>
      </c>
      <c r="BF71" s="525">
        <f>+PROJ!BF8</f>
        <v>-3011.2269999999999</v>
      </c>
      <c r="BG71" s="525">
        <f>+PROJ!BG8</f>
        <v>-3169.1309999999999</v>
      </c>
      <c r="BH71" s="525">
        <f>+PROJ!BH8</f>
        <v>-3267.2379999999998</v>
      </c>
      <c r="BI71" s="525">
        <f>+PROJ!BI8</f>
        <v>-3434.9059999999999</v>
      </c>
      <c r="BJ71" s="525">
        <f>+PROJ!BJ8</f>
        <v>-3674.8380000000002</v>
      </c>
      <c r="BK71" s="525">
        <f>+PROJ!BK8</f>
        <v>-3895</v>
      </c>
      <c r="BL71" s="525">
        <f>+PROJ!BL8</f>
        <v>-4697.2209999999995</v>
      </c>
      <c r="BM71" s="525">
        <f>+PROJ!BM8</f>
        <v>-4709.51</v>
      </c>
      <c r="BN71" s="525">
        <f>+PROJ!BN8</f>
        <v>-4857.0690000000004</v>
      </c>
      <c r="BO71" s="525">
        <f>+PROJ!BO8</f>
        <v>-5289.6859999999997</v>
      </c>
      <c r="BP71" s="525">
        <f>+PROJ!BP8</f>
        <v>-5766.5230000000001</v>
      </c>
      <c r="BQ71" s="525">
        <f>+PROJ!BQ8</f>
        <v>-6432.9260000000004</v>
      </c>
      <c r="BR71" s="525">
        <f>+PROJ!BR8</f>
        <v>-6845.8420000000006</v>
      </c>
      <c r="BS71" s="525">
        <f>+PROJ!BS8</f>
        <v>-7346.5929999999998</v>
      </c>
      <c r="BT71" s="525">
        <f>+PROJ!BT8</f>
        <v>-7504.8760000000002</v>
      </c>
      <c r="BU71" s="525">
        <f>+PROJ!BU8</f>
        <v>-7450.8850000000002</v>
      </c>
      <c r="BV71" s="525">
        <f>+SUMIFS($A71:$AO71,$A$1:$AO$1,"&lt;="&amp;BV$1,$A$1:$AO$1,"&gt;"&amp;BU$1)</f>
        <v>-7848.0839999999998</v>
      </c>
      <c r="BW71" s="525">
        <f>+SUMIFS($A71:$AO71,$A$1:$AO$1,"&lt;="&amp;BW$1,$A$1:$AO$1,"&gt;"&amp;BV$1)</f>
        <v>-8784.2959999999985</v>
      </c>
      <c r="BX71" s="525">
        <f>+SUMIFS($A71:$AO71,$A$1:$AO$1,"&lt;="&amp;BX$1,$A$1:$AO$1,"&gt;"&amp;BW$1)</f>
        <v>-9572.8899000000001</v>
      </c>
      <c r="BY71" s="525">
        <f>+SUMIFS($A71:$AS71,$A$1:$AS$1,"&lt;="&amp;BY$1,$A$1:$AS$1,"&gt;"&amp;BX$1)</f>
        <v>-9464.5639999999985</v>
      </c>
      <c r="BZ71" s="525">
        <f>+SUMIFS($A71:$AS71,$A$1:$AS$1,"&lt;="&amp;BZ$1,$A$1:$AS$1,"&gt;"&amp;BY$1)</f>
        <v>-9795.8237399999998</v>
      </c>
      <c r="CA71" s="524">
        <f>+BZ71*(1+CA73)</f>
        <v>-10138.677570899999</v>
      </c>
      <c r="CB71" s="524">
        <f>+CA71*(1+CB73)</f>
        <v>-10493.531285881498</v>
      </c>
      <c r="CC71" s="524">
        <f>+CB71*(1+CC73)</f>
        <v>-10860.80488088735</v>
      </c>
      <c r="CD71" s="524">
        <f>+CC71*(1+CD73)</f>
        <v>-11240.933051718406</v>
      </c>
    </row>
    <row r="72" spans="1:82" ht="17.25" customHeight="1">
      <c r="A72" s="423" t="s">
        <v>193</v>
      </c>
      <c r="B72" s="431">
        <f t="shared" ref="B72:AI72" si="211">-B71/B11</f>
        <v>0.15878765631449915</v>
      </c>
      <c r="C72" s="431">
        <f t="shared" si="211"/>
        <v>0.17045451585957444</v>
      </c>
      <c r="D72" s="431">
        <f t="shared" si="211"/>
        <v>0.14893966447681317</v>
      </c>
      <c r="E72" s="431">
        <f t="shared" si="211"/>
        <v>0.16805551291694171</v>
      </c>
      <c r="F72" s="431">
        <f t="shared" si="211"/>
        <v>0.16332613119888256</v>
      </c>
      <c r="G72" s="431">
        <f t="shared" si="211"/>
        <v>0.16706151060207236</v>
      </c>
      <c r="H72" s="431">
        <f t="shared" si="211"/>
        <v>0.17863680907539953</v>
      </c>
      <c r="I72" s="431">
        <f t="shared" si="211"/>
        <v>0.17227595840920909</v>
      </c>
      <c r="J72" s="431">
        <f t="shared" si="211"/>
        <v>0.1673101298623941</v>
      </c>
      <c r="K72" s="431">
        <f t="shared" si="211"/>
        <v>0.16826571374227259</v>
      </c>
      <c r="L72" s="431">
        <f t="shared" si="211"/>
        <v>0.16834353844599373</v>
      </c>
      <c r="M72" s="431">
        <f t="shared" si="211"/>
        <v>0.16356386684730018</v>
      </c>
      <c r="N72" s="431">
        <f t="shared" si="211"/>
        <v>0.16499219175594698</v>
      </c>
      <c r="O72" s="431">
        <f t="shared" si="211"/>
        <v>0.16934006939083171</v>
      </c>
      <c r="P72" s="431">
        <f t="shared" si="211"/>
        <v>0.17666471153846156</v>
      </c>
      <c r="Q72" s="431">
        <f t="shared" si="211"/>
        <v>0.16488251087862238</v>
      </c>
      <c r="R72" s="431">
        <f t="shared" si="211"/>
        <v>0.16471876470526858</v>
      </c>
      <c r="S72" s="431">
        <f t="shared" si="211"/>
        <v>0.15411081180998143</v>
      </c>
      <c r="T72" s="431">
        <f t="shared" si="211"/>
        <v>0.16620169613392449</v>
      </c>
      <c r="U72" s="431">
        <f t="shared" si="211"/>
        <v>0.15836522253826121</v>
      </c>
      <c r="V72" s="431">
        <f t="shared" si="211"/>
        <v>0.15883205347040408</v>
      </c>
      <c r="W72" s="431">
        <f t="shared" si="211"/>
        <v>0.15460973341393242</v>
      </c>
      <c r="X72" s="431">
        <f t="shared" si="211"/>
        <v>0.16448526864307192</v>
      </c>
      <c r="Y72" s="431">
        <f t="shared" si="211"/>
        <v>0.15780710344222629</v>
      </c>
      <c r="Z72" s="431">
        <f t="shared" si="211"/>
        <v>0.15392134563384763</v>
      </c>
      <c r="AA72" s="431">
        <f t="shared" si="211"/>
        <v>0.15520245654832038</v>
      </c>
      <c r="AB72" s="431">
        <f t="shared" si="211"/>
        <v>0.15627137720806628</v>
      </c>
      <c r="AC72" s="431">
        <f t="shared" si="211"/>
        <v>0.14947035401325903</v>
      </c>
      <c r="AD72" s="431">
        <f t="shared" si="211"/>
        <v>0.15816126651413387</v>
      </c>
      <c r="AE72" s="431">
        <f t="shared" si="211"/>
        <v>0.16106981208790502</v>
      </c>
      <c r="AF72" s="431">
        <f t="shared" si="211"/>
        <v>0.16950680600500659</v>
      </c>
      <c r="AG72" s="431">
        <f t="shared" si="211"/>
        <v>0.17083903485814486</v>
      </c>
      <c r="AH72" s="431">
        <f t="shared" si="211"/>
        <v>0.1766789510657216</v>
      </c>
      <c r="AI72" s="431">
        <f t="shared" si="211"/>
        <v>0.17239209553596815</v>
      </c>
      <c r="AJ72" s="431">
        <f t="shared" ref="AJ72:AK72" si="212">-AJ71/AJ11</f>
        <v>0.17167870703529917</v>
      </c>
      <c r="AK72" s="431">
        <f t="shared" si="212"/>
        <v>0.17813284103472177</v>
      </c>
      <c r="AL72" s="431">
        <f t="shared" ref="AL72:AM72" si="213">-AL71/AL11</f>
        <v>0.16680069399262631</v>
      </c>
      <c r="AM72" s="431">
        <f t="shared" si="213"/>
        <v>0.16672125088841508</v>
      </c>
      <c r="AN72" s="431">
        <f t="shared" ref="AN72:AO72" si="214">-AN71/AN11</f>
        <v>0.17480521998508575</v>
      </c>
      <c r="AO72" s="431">
        <f t="shared" si="214"/>
        <v>0.17550980311677533</v>
      </c>
      <c r="AP72" s="432">
        <f t="shared" ref="AP72:AS72" si="215">-AP71/AP11</f>
        <v>0.16925364537487081</v>
      </c>
      <c r="AQ72" s="432">
        <f t="shared" si="215"/>
        <v>0.16834779967757035</v>
      </c>
      <c r="AR72" s="432">
        <f t="shared" si="215"/>
        <v>0.17651063676542805</v>
      </c>
      <c r="AS72" s="432">
        <f t="shared" si="215"/>
        <v>0.17722209387889021</v>
      </c>
      <c r="AU72" s="432">
        <v>0.17550033599479978</v>
      </c>
      <c r="AW72" s="438">
        <f t="shared" ref="AW72:CD72" si="216">-AW71/AW11</f>
        <v>0.10728588444491885</v>
      </c>
      <c r="AX72" s="438">
        <f t="shared" si="216"/>
        <v>0.10469826585230622</v>
      </c>
      <c r="AY72" s="438">
        <f t="shared" si="216"/>
        <v>0.10521723693203065</v>
      </c>
      <c r="AZ72" s="438">
        <f t="shared" si="216"/>
        <v>0.11050236842161514</v>
      </c>
      <c r="BA72" s="438">
        <f t="shared" si="216"/>
        <v>0.12480591123615234</v>
      </c>
      <c r="BB72" s="438">
        <f t="shared" si="216"/>
        <v>0.13029857033158468</v>
      </c>
      <c r="BC72" s="438">
        <f t="shared" si="216"/>
        <v>0.13773916503398298</v>
      </c>
      <c r="BD72" s="438">
        <f t="shared" si="216"/>
        <v>0.13478262867918631</v>
      </c>
      <c r="BE72" s="438">
        <f t="shared" si="216"/>
        <v>0.13374856719571213</v>
      </c>
      <c r="BF72" s="438">
        <f t="shared" si="216"/>
        <v>0.14992811361931743</v>
      </c>
      <c r="BG72" s="438">
        <f t="shared" si="216"/>
        <v>0.14753708677182412</v>
      </c>
      <c r="BH72" s="438">
        <f t="shared" si="216"/>
        <v>0.141736324395413</v>
      </c>
      <c r="BI72" s="438">
        <f t="shared" si="216"/>
        <v>0.13905259558386829</v>
      </c>
      <c r="BJ72" s="438">
        <f t="shared" si="216"/>
        <v>0.14027963028217605</v>
      </c>
      <c r="BK72" s="438">
        <f t="shared" si="216"/>
        <v>0.14570343392132307</v>
      </c>
      <c r="BL72" s="438">
        <f t="shared" si="216"/>
        <v>0.16037696681298738</v>
      </c>
      <c r="BM72" s="438">
        <f t="shared" si="216"/>
        <v>0.15868949409377794</v>
      </c>
      <c r="BN72" s="438">
        <f t="shared" si="216"/>
        <v>0.16687028996229858</v>
      </c>
      <c r="BO72" s="438">
        <f t="shared" si="216"/>
        <v>0.16424416465458208</v>
      </c>
      <c r="BP72" s="438">
        <f t="shared" si="216"/>
        <v>0.16170710309603442</v>
      </c>
      <c r="BQ72" s="438">
        <f t="shared" si="216"/>
        <v>0.17033752266603402</v>
      </c>
      <c r="BR72" s="438">
        <f t="shared" si="216"/>
        <v>0.16686242458112324</v>
      </c>
      <c r="BS72" s="438">
        <f t="shared" si="216"/>
        <v>0.16888358867002587</v>
      </c>
      <c r="BT72" s="438">
        <f t="shared" si="216"/>
        <v>0.16069402121645776</v>
      </c>
      <c r="BU72" s="438">
        <f t="shared" si="216"/>
        <v>0.15888793617208255</v>
      </c>
      <c r="BV72" s="438">
        <f t="shared" si="216"/>
        <v>0.15371859878770441</v>
      </c>
      <c r="BW72" s="438">
        <f t="shared" si="216"/>
        <v>0.1647867466095575</v>
      </c>
      <c r="BX72" s="438">
        <f t="shared" si="216"/>
        <v>0.1747428828694276</v>
      </c>
      <c r="BY72" s="438">
        <f>-BY71/BY11</f>
        <v>0.17093020674911219</v>
      </c>
      <c r="BZ72" s="438">
        <f>-BZ71/BZ11</f>
        <v>0.17280841233221778</v>
      </c>
      <c r="CA72" s="432">
        <f t="shared" si="216"/>
        <v>0.1753497125135739</v>
      </c>
      <c r="CB72" s="432">
        <f t="shared" si="216"/>
        <v>0.17792838475642056</v>
      </c>
      <c r="CC72" s="432">
        <f t="shared" si="216"/>
        <v>0.18054497864989733</v>
      </c>
      <c r="CD72" s="432">
        <f t="shared" si="216"/>
        <v>0.18320005186533697</v>
      </c>
    </row>
    <row r="73" spans="1:82" ht="17.25" customHeight="1">
      <c r="A73" s="423" t="s">
        <v>51</v>
      </c>
      <c r="B73" s="430"/>
      <c r="C73" s="431"/>
      <c r="D73" s="526"/>
      <c r="E73" s="526"/>
      <c r="F73" s="431">
        <f t="shared" ref="F73:AO73" si="217">F71/B71-1</f>
        <v>0.12311564134033781</v>
      </c>
      <c r="G73" s="431">
        <f t="shared" si="217"/>
        <v>6.6053340631775814E-2</v>
      </c>
      <c r="H73" s="431">
        <f t="shared" si="217"/>
        <v>0.26511369682745389</v>
      </c>
      <c r="I73" s="431">
        <f t="shared" si="217"/>
        <v>3.0677609499688341E-2</v>
      </c>
      <c r="J73" s="431">
        <f t="shared" si="217"/>
        <v>9.7134681715888904E-2</v>
      </c>
      <c r="K73" s="431">
        <f t="shared" si="217"/>
        <v>0.11024647038186619</v>
      </c>
      <c r="L73" s="431">
        <f t="shared" si="217"/>
        <v>1.4076345932272583E-2</v>
      </c>
      <c r="M73" s="431">
        <f t="shared" si="217"/>
        <v>4.0215468804041032E-2</v>
      </c>
      <c r="N73" s="431">
        <f t="shared" si="217"/>
        <v>6.4086161031374544E-2</v>
      </c>
      <c r="O73" s="431">
        <f t="shared" si="217"/>
        <v>7.2662145885554086E-2</v>
      </c>
      <c r="P73" s="431">
        <f t="shared" si="217"/>
        <v>0.10276538686846393</v>
      </c>
      <c r="Q73" s="431">
        <f t="shared" si="217"/>
        <v>5.3616909497837373E-2</v>
      </c>
      <c r="R73" s="431">
        <f t="shared" si="217"/>
        <v>5.9820363367421914E-2</v>
      </c>
      <c r="S73" s="431">
        <f t="shared" si="217"/>
        <v>-5.1565541346617616E-3</v>
      </c>
      <c r="T73" s="431">
        <f t="shared" si="217"/>
        <v>3.8354923739178926E-3</v>
      </c>
      <c r="U73" s="431">
        <f t="shared" si="217"/>
        <v>2.9414407129894071E-2</v>
      </c>
      <c r="V73" s="431">
        <f t="shared" si="217"/>
        <v>-1.3692079311252714E-3</v>
      </c>
      <c r="W73" s="431">
        <f t="shared" si="217"/>
        <v>-4.6776293124985102E-2</v>
      </c>
      <c r="X73" s="431">
        <f t="shared" si="217"/>
        <v>1.1644689756880267E-2</v>
      </c>
      <c r="Y73" s="431">
        <f t="shared" si="217"/>
        <v>8.7848010123932063E-3</v>
      </c>
      <c r="Z73" s="431">
        <f t="shared" si="217"/>
        <v>6.2980490762203356E-3</v>
      </c>
      <c r="AA73" s="431">
        <f t="shared" si="217"/>
        <v>0.10425139692855034</v>
      </c>
      <c r="AB73" s="431">
        <f t="shared" si="217"/>
        <v>7.1549122458178349E-2</v>
      </c>
      <c r="AC73" s="431">
        <f t="shared" si="217"/>
        <v>3.3873422786493856E-2</v>
      </c>
      <c r="AD73" s="431">
        <f t="shared" si="217"/>
        <v>0.10722292520384569</v>
      </c>
      <c r="AE73" s="431">
        <f t="shared" si="217"/>
        <v>0.10373799974116937</v>
      </c>
      <c r="AF73" s="431">
        <f t="shared" si="217"/>
        <v>7.4399200534577492E-2</v>
      </c>
      <c r="AG73" s="431">
        <f t="shared" si="217"/>
        <v>0.19473073121237627</v>
      </c>
      <c r="AH73" s="431">
        <f t="shared" si="217"/>
        <v>0.13691600320496233</v>
      </c>
      <c r="AI73" s="431">
        <f t="shared" si="217"/>
        <v>9.7916043248225559E-2</v>
      </c>
      <c r="AJ73" s="431">
        <f t="shared" si="217"/>
        <v>5.1341497194012264E-2</v>
      </c>
      <c r="AK73" s="431">
        <f t="shared" si="217"/>
        <v>7.3814077547287971E-2</v>
      </c>
      <c r="AL73" s="431">
        <f t="shared" si="217"/>
        <v>-5.2937863867262624E-2</v>
      </c>
      <c r="AM73" s="431">
        <f t="shared" si="217"/>
        <v>-3.2757548618430055E-2</v>
      </c>
      <c r="AN73" s="431">
        <f t="shared" si="217"/>
        <v>3.7977419918048039E-2</v>
      </c>
      <c r="AO73" s="431">
        <f t="shared" si="217"/>
        <v>5.8398380092123947E-3</v>
      </c>
      <c r="AP73" s="435">
        <v>3.5000000000000003E-2</v>
      </c>
      <c r="AQ73" s="435">
        <v>3.5000000000000003E-2</v>
      </c>
      <c r="AR73" s="435">
        <v>3.5000000000000003E-2</v>
      </c>
      <c r="AS73" s="435">
        <v>3.5000000000000003E-2</v>
      </c>
      <c r="AU73" s="435">
        <v>0</v>
      </c>
      <c r="AX73" s="438">
        <f t="shared" ref="AX73:BO73" si="218">AX71/AW71-1</f>
        <v>0.16378053457208175</v>
      </c>
      <c r="AY73" s="438">
        <f t="shared" si="218"/>
        <v>0.13403377443143882</v>
      </c>
      <c r="AZ73" s="438">
        <f t="shared" si="218"/>
        <v>0.20457847442666277</v>
      </c>
      <c r="BA73" s="438">
        <f t="shared" si="218"/>
        <v>0.11009778732565212</v>
      </c>
      <c r="BB73" s="438">
        <f t="shared" si="218"/>
        <v>7.4866877476027716E-2</v>
      </c>
      <c r="BC73" s="438">
        <f t="shared" si="218"/>
        <v>0.1230501632820622</v>
      </c>
      <c r="BD73" s="438">
        <f t="shared" si="218"/>
        <v>0.13296719019531178</v>
      </c>
      <c r="BE73" s="438">
        <f t="shared" si="218"/>
        <v>0.10180101620768434</v>
      </c>
      <c r="BF73" s="438">
        <f t="shared" si="218"/>
        <v>2.4153716911377021E-2</v>
      </c>
      <c r="BG73" s="438">
        <f t="shared" si="218"/>
        <v>5.2438424602329947E-2</v>
      </c>
      <c r="BH73" s="438">
        <f t="shared" si="218"/>
        <v>3.095706677950516E-2</v>
      </c>
      <c r="BI73" s="438">
        <f t="shared" si="218"/>
        <v>5.1317963368447739E-2</v>
      </c>
      <c r="BJ73" s="438">
        <f t="shared" si="218"/>
        <v>6.9851110918319304E-2</v>
      </c>
      <c r="BK73" s="438">
        <f t="shared" si="218"/>
        <v>5.9910668170950698E-2</v>
      </c>
      <c r="BL73" s="438">
        <f t="shared" si="218"/>
        <v>0.20596174582798454</v>
      </c>
      <c r="BM73" s="438">
        <f t="shared" si="218"/>
        <v>2.6162277653107857E-3</v>
      </c>
      <c r="BN73" s="438">
        <f t="shared" si="218"/>
        <v>3.1332134340940065E-2</v>
      </c>
      <c r="BO73" s="438">
        <f t="shared" si="218"/>
        <v>8.906956026360735E-2</v>
      </c>
      <c r="BP73" s="438">
        <f t="shared" ref="BP73:BW73" si="219">BP71/BO71-1</f>
        <v>9.0144670212938927E-2</v>
      </c>
      <c r="BQ73" s="438">
        <f t="shared" si="219"/>
        <v>0.11556409295514825</v>
      </c>
      <c r="BR73" s="438">
        <f t="shared" si="219"/>
        <v>6.4187898321852233E-2</v>
      </c>
      <c r="BS73" s="438">
        <f t="shared" si="219"/>
        <v>7.3146736369317233E-2</v>
      </c>
      <c r="BT73" s="438">
        <f t="shared" si="219"/>
        <v>2.1545088995674533E-2</v>
      </c>
      <c r="BU73" s="438">
        <f t="shared" si="219"/>
        <v>-7.1941228609240238E-3</v>
      </c>
      <c r="BV73" s="438">
        <f t="shared" si="219"/>
        <v>5.330896933719953E-2</v>
      </c>
      <c r="BW73" s="438">
        <f t="shared" si="219"/>
        <v>0.1192917914741991</v>
      </c>
      <c r="BX73" s="438">
        <f>BX71/BW71-1</f>
        <v>8.9773147444029977E-2</v>
      </c>
      <c r="BY73" s="438">
        <f>BY71/BX71-1</f>
        <v>-1.1315903675023109E-2</v>
      </c>
      <c r="BZ73" s="438">
        <f>BZ71/BY71-1</f>
        <v>3.5000000000000142E-2</v>
      </c>
      <c r="CA73" s="435">
        <f>+CA6</f>
        <v>3.499999999999992E-2</v>
      </c>
      <c r="CB73" s="435">
        <f>+CB6</f>
        <v>3.499999999999992E-2</v>
      </c>
      <c r="CC73" s="435">
        <f>+CC6</f>
        <v>3.499999999999992E-2</v>
      </c>
      <c r="CD73" s="435">
        <f>+CD6</f>
        <v>3.499999999999992E-2</v>
      </c>
    </row>
    <row r="74" spans="1:82" ht="17.25" customHeight="1">
      <c r="A74" s="423" t="s">
        <v>183</v>
      </c>
      <c r="B74" s="431"/>
      <c r="C74" s="431">
        <f t="shared" ref="C74:AO74" si="220">C71/B71-1</f>
        <v>8.6146748545581353E-2</v>
      </c>
      <c r="D74" s="431">
        <f t="shared" si="220"/>
        <v>-0.13729154266400245</v>
      </c>
      <c r="E74" s="431">
        <f t="shared" si="220"/>
        <v>0.21397534252271355</v>
      </c>
      <c r="F74" s="431">
        <f t="shared" si="220"/>
        <v>-1.2670648761827219E-2</v>
      </c>
      <c r="G74" s="431">
        <f t="shared" si="220"/>
        <v>3.0962731782027575E-2</v>
      </c>
      <c r="H74" s="431">
        <f t="shared" si="220"/>
        <v>2.3798945274016159E-2</v>
      </c>
      <c r="I74" s="431">
        <f t="shared" si="220"/>
        <v>-1.0984382541606053E-2</v>
      </c>
      <c r="J74" s="431">
        <f t="shared" si="220"/>
        <v>5.0991370662714974E-2</v>
      </c>
      <c r="K74" s="431">
        <f t="shared" si="220"/>
        <v>4.3283703570544008E-2</v>
      </c>
      <c r="L74" s="431">
        <f t="shared" si="220"/>
        <v>-6.4883049764887235E-2</v>
      </c>
      <c r="M74" s="431">
        <f t="shared" si="220"/>
        <v>1.4508767802095424E-2</v>
      </c>
      <c r="N74" s="431">
        <f>N71/M71-1</f>
        <v>7.5109346500468188E-2</v>
      </c>
      <c r="O74" s="431">
        <f t="shared" si="220"/>
        <v>5.1692031362121638E-2</v>
      </c>
      <c r="P74" s="431">
        <f t="shared" si="220"/>
        <v>-3.8639883630883887E-2</v>
      </c>
      <c r="Q74" s="431">
        <f t="shared" si="220"/>
        <v>-3.0706254187500948E-2</v>
      </c>
      <c r="R74" s="431">
        <f t="shared" si="220"/>
        <v>8.143934289256638E-2</v>
      </c>
      <c r="S74" s="431">
        <f t="shared" si="220"/>
        <v>-1.2786543235453474E-2</v>
      </c>
      <c r="T74" s="431">
        <f t="shared" si="220"/>
        <v>-2.99504813798942E-2</v>
      </c>
      <c r="U74" s="431">
        <f t="shared" si="220"/>
        <v>-6.0075039580126388E-3</v>
      </c>
      <c r="V74" s="431">
        <f t="shared" si="220"/>
        <v>4.9099973817420262E-2</v>
      </c>
      <c r="W74" s="431">
        <f t="shared" si="220"/>
        <v>-5.7674489703602227E-2</v>
      </c>
      <c r="X74" s="431">
        <f t="shared" si="220"/>
        <v>2.9501718469031379E-2</v>
      </c>
      <c r="Y74" s="431">
        <f t="shared" si="220"/>
        <v>-8.8174904881830329E-3</v>
      </c>
      <c r="Z74" s="431">
        <f t="shared" si="220"/>
        <v>4.6513841087713059E-2</v>
      </c>
      <c r="AA74" s="431">
        <f t="shared" si="220"/>
        <v>3.4051752422100456E-2</v>
      </c>
      <c r="AB74" s="431">
        <f t="shared" si="220"/>
        <v>-9.8685311778134999E-4</v>
      </c>
      <c r="AC74" s="431">
        <f t="shared" si="220"/>
        <v>-4.3667497609206296E-2</v>
      </c>
      <c r="AD74" s="431">
        <f t="shared" si="220"/>
        <v>0.12076013451671774</v>
      </c>
      <c r="AE74" s="431">
        <f t="shared" si="220"/>
        <v>3.0797129346916696E-2</v>
      </c>
      <c r="AF74" s="431">
        <f t="shared" si="220"/>
        <v>-2.7541928804218019E-2</v>
      </c>
      <c r="AG74" s="431">
        <f t="shared" si="220"/>
        <v>6.3440692523806019E-2</v>
      </c>
      <c r="AH74" s="431">
        <f t="shared" si="220"/>
        <v>6.6524949427870794E-2</v>
      </c>
      <c r="AI74" s="431">
        <f t="shared" si="220"/>
        <v>-4.5626040500293952E-3</v>
      </c>
      <c r="AJ74" s="431">
        <f t="shared" si="220"/>
        <v>-6.8794439413956465E-2</v>
      </c>
      <c r="AK74" s="431">
        <f t="shared" si="220"/>
        <v>8.6171894970839658E-2</v>
      </c>
      <c r="AL74" s="431">
        <f t="shared" si="220"/>
        <v>-5.9366590582308421E-2</v>
      </c>
      <c r="AM74" s="431">
        <f t="shared" si="220"/>
        <v>1.66485073378424E-2</v>
      </c>
      <c r="AN74" s="431">
        <f t="shared" si="220"/>
        <v>-6.9486837573029536E-4</v>
      </c>
      <c r="AO74" s="431">
        <f t="shared" si="220"/>
        <v>5.2542128492435225E-2</v>
      </c>
      <c r="AP74" s="432">
        <f t="shared" ref="AP74:AS74" si="221">AP71/AO71-1</f>
        <v>-3.2096819038108237E-2</v>
      </c>
      <c r="AQ74" s="432">
        <f t="shared" si="221"/>
        <v>1.66485073378424E-2</v>
      </c>
      <c r="AR74" s="432">
        <f t="shared" si="221"/>
        <v>-6.9486837573029536E-4</v>
      </c>
      <c r="AS74" s="432">
        <f t="shared" si="221"/>
        <v>5.2542128492435225E-2</v>
      </c>
      <c r="AU74" s="432">
        <v>4.6431140146186101E-2</v>
      </c>
      <c r="AW74" s="438"/>
      <c r="AX74" s="438"/>
      <c r="AY74" s="438"/>
      <c r="AZ74" s="438"/>
      <c r="BA74" s="438"/>
      <c r="BB74" s="438"/>
      <c r="BC74" s="438"/>
      <c r="BD74" s="438"/>
      <c r="BE74" s="438"/>
      <c r="BF74" s="438"/>
      <c r="BG74" s="438"/>
      <c r="BH74" s="438"/>
      <c r="BI74" s="438"/>
      <c r="BJ74" s="438"/>
      <c r="BK74" s="438"/>
      <c r="BL74" s="438"/>
      <c r="BM74" s="438"/>
      <c r="BN74" s="438"/>
      <c r="BO74" s="438"/>
      <c r="BP74" s="438"/>
      <c r="BQ74" s="438"/>
      <c r="BR74" s="438"/>
      <c r="BS74" s="438"/>
      <c r="BT74" s="438"/>
      <c r="BU74" s="438"/>
      <c r="BV74" s="438"/>
      <c r="BW74" s="438"/>
      <c r="BX74" s="438"/>
      <c r="BY74" s="438"/>
      <c r="BZ74" s="438"/>
      <c r="CA74" s="432"/>
      <c r="CB74" s="432"/>
      <c r="CC74" s="432"/>
      <c r="CD74" s="432"/>
    </row>
    <row r="75" spans="1:82" ht="17.25" customHeight="1">
      <c r="B75" s="431"/>
      <c r="C75" s="431"/>
      <c r="D75" s="431"/>
      <c r="E75" s="431"/>
      <c r="F75" s="431"/>
      <c r="G75" s="431"/>
      <c r="H75" s="431"/>
      <c r="I75" s="431"/>
      <c r="J75" s="431"/>
      <c r="K75" s="431"/>
      <c r="L75" s="431"/>
      <c r="M75" s="431"/>
      <c r="N75" s="431"/>
      <c r="O75" s="431"/>
      <c r="P75" s="431"/>
      <c r="Q75" s="431"/>
      <c r="R75" s="431"/>
      <c r="S75" s="431"/>
      <c r="T75" s="431"/>
      <c r="U75" s="431"/>
      <c r="V75" s="431"/>
      <c r="W75" s="431"/>
      <c r="X75" s="431"/>
      <c r="Y75" s="431"/>
      <c r="Z75" s="431"/>
      <c r="AA75" s="431"/>
      <c r="AB75" s="431"/>
      <c r="AC75" s="431"/>
      <c r="AD75" s="431"/>
      <c r="AE75" s="431"/>
      <c r="AF75" s="431"/>
      <c r="AG75" s="431"/>
      <c r="AH75" s="431"/>
      <c r="AI75" s="431"/>
      <c r="AJ75" s="431"/>
      <c r="AK75" s="431"/>
      <c r="AL75" s="431"/>
      <c r="AM75" s="431"/>
      <c r="AN75" s="431"/>
      <c r="AO75" s="431"/>
      <c r="AP75" s="432"/>
      <c r="AQ75" s="432"/>
      <c r="AR75" s="432"/>
      <c r="AS75" s="432"/>
      <c r="AU75" s="432"/>
      <c r="AW75" s="438"/>
      <c r="AX75" s="433"/>
      <c r="AY75" s="433"/>
      <c r="AZ75" s="433"/>
      <c r="BA75" s="433"/>
      <c r="BB75" s="433"/>
      <c r="BC75" s="433"/>
      <c r="BD75" s="433"/>
      <c r="BE75" s="433">
        <f t="shared" ref="BE75:BW75" si="222">+BE73-BE6</f>
        <v>6.1801016207684335E-2</v>
      </c>
      <c r="BF75" s="433">
        <f t="shared" si="222"/>
        <v>-1.2146283088622978E-2</v>
      </c>
      <c r="BG75" s="433">
        <f t="shared" si="222"/>
        <v>1.2738424602329948E-2</v>
      </c>
      <c r="BH75" s="433">
        <f t="shared" si="222"/>
        <v>-2.0242933220494842E-2</v>
      </c>
      <c r="BI75" s="433">
        <f t="shared" si="222"/>
        <v>-1.7820366315522626E-3</v>
      </c>
      <c r="BJ75" s="433">
        <f t="shared" si="222"/>
        <v>2.8251110918319305E-2</v>
      </c>
      <c r="BK75" s="433">
        <f t="shared" si="222"/>
        <v>2.58106681709507E-2</v>
      </c>
      <c r="BL75" s="433">
        <f t="shared" si="222"/>
        <v>0.17027959692912042</v>
      </c>
      <c r="BM75" s="433">
        <f t="shared" si="222"/>
        <v>-3.7125258329699262E-2</v>
      </c>
      <c r="BN75" s="433">
        <f t="shared" si="222"/>
        <v>-9.4807571322703676E-3</v>
      </c>
      <c r="BO75" s="433">
        <f t="shared" si="222"/>
        <v>6.7761826489851407E-2</v>
      </c>
      <c r="BP75" s="433">
        <f t="shared" si="222"/>
        <v>5.6542115152004691E-2</v>
      </c>
      <c r="BQ75" s="433">
        <f t="shared" si="222"/>
        <v>4.7833022430696648E-2</v>
      </c>
      <c r="BR75" s="433">
        <f t="shared" si="222"/>
        <v>1.5882617822345457E-2</v>
      </c>
      <c r="BS75" s="433">
        <f t="shared" si="222"/>
        <v>4.4860966615871245E-2</v>
      </c>
      <c r="BT75" s="433">
        <f t="shared" si="222"/>
        <v>-9.955656751677644E-3</v>
      </c>
      <c r="BU75" s="433">
        <f t="shared" si="222"/>
        <v>-8.0745202287304307E-2</v>
      </c>
      <c r="BV75" s="433">
        <f t="shared" si="222"/>
        <v>-2.4861317429261343E-2</v>
      </c>
      <c r="BW75" s="433">
        <f t="shared" si="222"/>
        <v>7.2682895065337538E-2</v>
      </c>
      <c r="BX75" s="433"/>
      <c r="BY75" s="527"/>
      <c r="BZ75" s="527"/>
      <c r="CA75" s="432"/>
      <c r="CB75" s="432"/>
      <c r="CC75" s="432"/>
      <c r="CD75" s="432"/>
    </row>
    <row r="76" spans="1:82" ht="17.25" customHeight="1">
      <c r="A76" s="479" t="s">
        <v>57</v>
      </c>
      <c r="B76" s="608">
        <f>+PROJ!B12</f>
        <v>0</v>
      </c>
      <c r="C76" s="608">
        <f>+PROJ!C12</f>
        <v>0</v>
      </c>
      <c r="D76" s="608">
        <f>+PROJ!D12</f>
        <v>0</v>
      </c>
      <c r="E76" s="608">
        <f>+PROJ!E12</f>
        <v>0</v>
      </c>
      <c r="F76" s="608">
        <f>+PROJ!F12</f>
        <v>0</v>
      </c>
      <c r="G76" s="608">
        <f>+PROJ!G12</f>
        <v>2.3570000000000002</v>
      </c>
      <c r="H76" s="608">
        <f>+PROJ!H12</f>
        <v>4.1040000000000001</v>
      </c>
      <c r="I76" s="608">
        <f>+PROJ!I12</f>
        <v>2.2650000000000001</v>
      </c>
      <c r="J76" s="608">
        <f>+PROJ!J12</f>
        <v>2.3919999999999999</v>
      </c>
      <c r="K76" s="608">
        <f>+PROJ!K12</f>
        <v>-2.7080000000000002</v>
      </c>
      <c r="L76" s="608">
        <f>+PROJ!L12</f>
        <v>3.5070000000000001</v>
      </c>
      <c r="M76" s="608">
        <f>+PROJ!M12</f>
        <v>5.4909999999999997</v>
      </c>
      <c r="N76" s="608">
        <f>+PROJ!N12</f>
        <v>2.31</v>
      </c>
      <c r="O76" s="608">
        <f>+PROJ!O12</f>
        <v>9.1859999999999999</v>
      </c>
      <c r="P76" s="608">
        <f>+PROJ!P12</f>
        <v>7.1890000000000001</v>
      </c>
      <c r="Q76" s="608">
        <f>+PROJ!Q12</f>
        <v>3.782</v>
      </c>
      <c r="R76" s="608">
        <f>+PROJ!R12</f>
        <v>2.831</v>
      </c>
      <c r="S76" s="608">
        <f>+PROJ!S12</f>
        <v>1.444</v>
      </c>
      <c r="T76" s="608">
        <f>+PROJ!T12</f>
        <v>1.1639999999999999</v>
      </c>
      <c r="U76" s="608">
        <f>+PROJ!U12</f>
        <v>27.452999999999999</v>
      </c>
      <c r="V76" s="608">
        <f>+PROJ!V12</f>
        <v>1.7549999999999999</v>
      </c>
      <c r="W76" s="608">
        <f>+PROJ!W12</f>
        <v>1.2470000000000001</v>
      </c>
      <c r="X76" s="608">
        <f>+PROJ!X12</f>
        <v>4.8460000000000001</v>
      </c>
      <c r="Y76" s="608">
        <f>+PROJ!Y12</f>
        <v>7.08</v>
      </c>
      <c r="Z76" s="608">
        <f>+PROJ!Z12</f>
        <v>3.0550000000000002</v>
      </c>
      <c r="AA76" s="608">
        <f>+PROJ!AA12</f>
        <v>2.6760000000000002</v>
      </c>
      <c r="AB76" s="608">
        <f>+PROJ!AB12</f>
        <v>7.9359999999999999</v>
      </c>
      <c r="AC76" s="608">
        <f>+PROJ!AC12</f>
        <v>1.9890000000000001</v>
      </c>
      <c r="AD76" s="608">
        <f>+PROJ!AD12</f>
        <v>2.7589999999999999</v>
      </c>
      <c r="AE76" s="608">
        <f>+PROJ!AE12</f>
        <v>1.93</v>
      </c>
      <c r="AF76" s="608">
        <f>+PROJ!AF12</f>
        <v>1.0389999999999999</v>
      </c>
      <c r="AG76" s="608">
        <f>+PROJ!AG12</f>
        <v>10.808</v>
      </c>
      <c r="AH76" s="608">
        <f>+PROJ!AH12</f>
        <v>7.8929999999999998</v>
      </c>
      <c r="AI76" s="608">
        <f>+PROJ!AI12</f>
        <v>9.07</v>
      </c>
      <c r="AJ76" s="608">
        <f>+PROJ!AJ12</f>
        <v>11.516</v>
      </c>
      <c r="AK76" s="608">
        <f>+PROJ!AK12</f>
        <v>8.0329999999999995</v>
      </c>
      <c r="AL76" s="608">
        <f>+PROJ!AL12</f>
        <v>0.73299999999999998</v>
      </c>
      <c r="AM76" s="608">
        <f>+PROJ!AM12</f>
        <v>16.149000000000001</v>
      </c>
      <c r="AN76" s="608">
        <f>+PROJ!AN12</f>
        <v>2.8809999999999998</v>
      </c>
      <c r="AO76" s="608">
        <f>+PROJ!AO12</f>
        <v>2.6040000000000001</v>
      </c>
      <c r="AP76" s="432"/>
      <c r="AQ76" s="432"/>
      <c r="AR76" s="432"/>
      <c r="AS76" s="432"/>
      <c r="AU76" s="432"/>
      <c r="AW76" s="438"/>
      <c r="AX76" s="433"/>
      <c r="AY76" s="433"/>
      <c r="AZ76" s="433"/>
      <c r="BA76" s="433"/>
      <c r="BB76" s="433"/>
      <c r="BC76" s="433"/>
      <c r="BD76" s="433"/>
      <c r="BE76" s="433"/>
      <c r="BF76" s="433"/>
      <c r="BG76" s="433"/>
      <c r="BH76" s="433"/>
      <c r="BI76" s="433"/>
      <c r="BJ76" s="433"/>
      <c r="BK76" s="433"/>
      <c r="BL76" s="433"/>
      <c r="BM76" s="433"/>
      <c r="BN76" s="433"/>
      <c r="BO76" s="433"/>
      <c r="BP76" s="433"/>
      <c r="BQ76" s="433"/>
      <c r="BR76" s="433"/>
      <c r="BS76" s="433"/>
      <c r="BT76" s="433"/>
      <c r="BU76" s="433"/>
      <c r="BV76" s="433"/>
      <c r="BW76" s="433"/>
      <c r="BX76" s="433"/>
      <c r="BY76" s="528"/>
      <c r="BZ76" s="528"/>
      <c r="CA76" s="432"/>
      <c r="CB76" s="432"/>
      <c r="CC76" s="432"/>
      <c r="CD76" s="432"/>
    </row>
    <row r="77" spans="1:82" ht="17.25" customHeight="1">
      <c r="AP77" s="444"/>
      <c r="AQ77" s="444"/>
      <c r="AR77" s="444"/>
      <c r="AS77" s="444"/>
      <c r="AU77" s="444"/>
      <c r="CA77" s="444"/>
      <c r="CB77" s="444"/>
      <c r="CC77" s="444"/>
      <c r="CD77" s="444"/>
    </row>
    <row r="78" spans="1:82" s="449" customFormat="1" ht="17.25" customHeight="1">
      <c r="A78" s="446" t="s">
        <v>59</v>
      </c>
      <c r="B78" s="450">
        <f t="shared" ref="B78:AL78" si="223">+B67+B71+B76</f>
        <v>2050.4639999999986</v>
      </c>
      <c r="C78" s="450">
        <f t="shared" si="223"/>
        <v>1947.6329999999989</v>
      </c>
      <c r="D78" s="450">
        <f t="shared" si="223"/>
        <v>2045.9880000000001</v>
      </c>
      <c r="E78" s="450">
        <f t="shared" si="223"/>
        <v>1974.3249999999996</v>
      </c>
      <c r="F78" s="450">
        <f t="shared" si="223"/>
        <v>1828.0869999999998</v>
      </c>
      <c r="G78" s="450">
        <f t="shared" si="223"/>
        <v>1796.9350000000004</v>
      </c>
      <c r="H78" s="450">
        <f t="shared" si="223"/>
        <v>1565.8330000000003</v>
      </c>
      <c r="I78" s="450">
        <f t="shared" si="223"/>
        <v>1790.6129999999996</v>
      </c>
      <c r="J78" s="450">
        <f t="shared" si="223"/>
        <v>2020.5839999999996</v>
      </c>
      <c r="K78" s="450">
        <f t="shared" si="223"/>
        <v>2030.1769999999995</v>
      </c>
      <c r="L78" s="450">
        <f t="shared" si="223"/>
        <v>1695.0429999999997</v>
      </c>
      <c r="M78" s="450">
        <f t="shared" si="223"/>
        <v>1757.6020000000001</v>
      </c>
      <c r="N78" s="450">
        <f t="shared" si="223"/>
        <v>2060.0859999999998</v>
      </c>
      <c r="O78" s="450">
        <f t="shared" si="223"/>
        <v>2296.5390000000002</v>
      </c>
      <c r="P78" s="450">
        <f t="shared" si="223"/>
        <v>2155.2629999999995</v>
      </c>
      <c r="Q78" s="450">
        <f t="shared" si="223"/>
        <v>2485.4069999999997</v>
      </c>
      <c r="R78" s="450">
        <f t="shared" si="223"/>
        <v>2701.5989999999997</v>
      </c>
      <c r="S78" s="450">
        <f t="shared" si="223"/>
        <v>2820.2380000000003</v>
      </c>
      <c r="T78" s="450">
        <f t="shared" si="223"/>
        <v>2359.9670000000006</v>
      </c>
      <c r="U78" s="450">
        <f t="shared" si="223"/>
        <v>2655.4860000000003</v>
      </c>
      <c r="V78" s="450">
        <f t="shared" si="223"/>
        <v>2741.4529999999995</v>
      </c>
      <c r="W78" s="450">
        <f t="shared" si="223"/>
        <v>2232.5540000000001</v>
      </c>
      <c r="X78" s="450">
        <f t="shared" si="223"/>
        <v>1737.3409999999994</v>
      </c>
      <c r="Y78" s="450">
        <f t="shared" si="223"/>
        <v>1638.3709999999994</v>
      </c>
      <c r="Z78" s="450">
        <f t="shared" si="223"/>
        <v>2005.1860000000004</v>
      </c>
      <c r="AA78" s="450">
        <f t="shared" si="223"/>
        <v>2157.1219999999994</v>
      </c>
      <c r="AB78" s="450">
        <f t="shared" si="223"/>
        <v>2252.9819999999995</v>
      </c>
      <c r="AC78" s="450">
        <f t="shared" si="223"/>
        <v>2524.7640000000006</v>
      </c>
      <c r="AD78" s="450">
        <f t="shared" si="223"/>
        <v>2782.2039999999997</v>
      </c>
      <c r="AE78" s="450">
        <f t="shared" si="223"/>
        <v>3029.3050000000007</v>
      </c>
      <c r="AF78" s="450">
        <f t="shared" si="223"/>
        <v>2943.4989999999993</v>
      </c>
      <c r="AG78" s="450">
        <f t="shared" si="223"/>
        <v>3177.2710000000006</v>
      </c>
      <c r="AH78" s="450">
        <f t="shared" si="223"/>
        <v>3400.1359999999991</v>
      </c>
      <c r="AI78" s="450">
        <f t="shared" si="223"/>
        <v>3538.2700000000004</v>
      </c>
      <c r="AJ78" s="450">
        <f t="shared" si="223"/>
        <v>2964.8791000000006</v>
      </c>
      <c r="AK78" s="450">
        <f t="shared" si="223"/>
        <v>2944.0650000000001</v>
      </c>
      <c r="AL78" s="450">
        <f t="shared" si="223"/>
        <v>2976.3790000000004</v>
      </c>
      <c r="AM78" s="450">
        <f>+AM67+AM71+AM76</f>
        <v>3046.3059999999991</v>
      </c>
      <c r="AN78" s="450">
        <f>+AN67+AN71+AN76</f>
        <v>2850.4369999999994</v>
      </c>
      <c r="AO78" s="450">
        <f>+AO67+AO71+AO76</f>
        <v>3215.3390000000004</v>
      </c>
      <c r="AP78" s="451">
        <f t="shared" ref="AP78:AS78" si="224">+AP67+AP71</f>
        <v>3191.3616414449266</v>
      </c>
      <c r="AQ78" s="451">
        <f t="shared" si="224"/>
        <v>3351.8111835199784</v>
      </c>
      <c r="AR78" s="451">
        <f t="shared" si="224"/>
        <v>2963.4206503051482</v>
      </c>
      <c r="AS78" s="451">
        <f t="shared" si="224"/>
        <v>3385.8321835789793</v>
      </c>
      <c r="AU78" s="451">
        <v>3103.2286398275328</v>
      </c>
      <c r="AW78" s="450">
        <f t="shared" ref="AW78:BW78" si="225">+AW11+AW22+AW71</f>
        <v>2942.7590000000005</v>
      </c>
      <c r="AX78" s="450">
        <f t="shared" si="225"/>
        <v>3790.4620000000004</v>
      </c>
      <c r="AY78" s="450">
        <f t="shared" si="225"/>
        <v>4580.1759999999995</v>
      </c>
      <c r="AZ78" s="450">
        <f t="shared" si="225"/>
        <v>5087.2949999999992</v>
      </c>
      <c r="BA78" s="450">
        <f t="shared" si="225"/>
        <v>4885.6500000000005</v>
      </c>
      <c r="BB78" s="450">
        <f t="shared" si="225"/>
        <v>4702.6570000000002</v>
      </c>
      <c r="BC78" s="450">
        <f t="shared" si="225"/>
        <v>4475.6140000000032</v>
      </c>
      <c r="BD78" s="450">
        <f t="shared" si="225"/>
        <v>4822.7509999999993</v>
      </c>
      <c r="BE78" s="450">
        <f t="shared" si="225"/>
        <v>5364.2850000000008</v>
      </c>
      <c r="BF78" s="450">
        <f t="shared" si="225"/>
        <v>5746.5930000000017</v>
      </c>
      <c r="BG78" s="450">
        <f t="shared" si="225"/>
        <v>5628.0310000000009</v>
      </c>
      <c r="BH78" s="450">
        <f t="shared" si="225"/>
        <v>5951.0830000000024</v>
      </c>
      <c r="BI78" s="450">
        <f t="shared" si="225"/>
        <v>6702.547999999998</v>
      </c>
      <c r="BJ78" s="450">
        <f t="shared" si="225"/>
        <v>6881.0550000000003</v>
      </c>
      <c r="BK78" s="450">
        <f t="shared" si="225"/>
        <v>5783.3830000000016</v>
      </c>
      <c r="BL78" s="450">
        <f t="shared" si="225"/>
        <v>6635.0990000000002</v>
      </c>
      <c r="BM78" s="450">
        <f t="shared" si="225"/>
        <v>7208.0159999999978</v>
      </c>
      <c r="BN78" s="450">
        <f t="shared" si="225"/>
        <v>5870.0519999999988</v>
      </c>
      <c r="BO78" s="450">
        <f t="shared" si="225"/>
        <v>7138.0910000000022</v>
      </c>
      <c r="BP78" s="450">
        <f t="shared" si="225"/>
        <v>8018.4099999999971</v>
      </c>
      <c r="BQ78" s="450">
        <f t="shared" si="225"/>
        <v>6969.0649999999941</v>
      </c>
      <c r="BR78" s="450">
        <f t="shared" si="225"/>
        <v>7494.724000000002</v>
      </c>
      <c r="BS78" s="450">
        <f t="shared" si="225"/>
        <v>8974.8280000000013</v>
      </c>
      <c r="BT78" s="450">
        <f t="shared" si="225"/>
        <v>10504.398000000005</v>
      </c>
      <c r="BU78" s="450">
        <f t="shared" si="225"/>
        <v>8334.790999999992</v>
      </c>
      <c r="BV78" s="450">
        <f t="shared" si="225"/>
        <v>8924.3980000000047</v>
      </c>
      <c r="BW78" s="450">
        <f t="shared" si="225"/>
        <v>11915.743000000006</v>
      </c>
      <c r="BX78" s="450">
        <f>+SUMIFS($A78:$AO78,$A$1:$AO$1,"&lt;="&amp;BX$1,$A$1:$AO$1,"&gt;"&amp;BW$1)</f>
        <v>12847.3501</v>
      </c>
      <c r="BY78" s="450">
        <f>+SUMIFS($A78:$AS78,$A$1:$AS$1,"&lt;="&amp;BY$1,$A$1:$AS$1,"&gt;"&amp;BX$1)</f>
        <v>12088.460999999999</v>
      </c>
      <c r="BZ78" s="450">
        <f>+SUMIFS($A78:$AS78,$A$1:$AS$1,"&lt;="&amp;BZ$1,$A$1:$AS$1,"&gt;"&amp;BY$1)</f>
        <v>12892.425658849032</v>
      </c>
      <c r="CA78" s="451">
        <f>+CA67+CA71</f>
        <v>12860.086072956343</v>
      </c>
      <c r="CB78" s="451">
        <f>+CB67+CB71</f>
        <v>12878.564953299279</v>
      </c>
      <c r="CC78" s="451">
        <f>+CC67+CC71</f>
        <v>12885.273769970845</v>
      </c>
      <c r="CD78" s="451">
        <f>+CD67+CD71</f>
        <v>12880.128894501358</v>
      </c>
    </row>
    <row r="79" spans="1:82" s="479" customFormat="1" ht="17.25" customHeight="1">
      <c r="A79" s="479" t="s">
        <v>215</v>
      </c>
      <c r="B79" s="464">
        <f t="shared" ref="B79:AH79" si="226">+B78/B$11</f>
        <v>0.23492089024722621</v>
      </c>
      <c r="C79" s="464">
        <f t="shared" si="226"/>
        <v>0.2205361964355857</v>
      </c>
      <c r="D79" s="464">
        <f t="shared" si="226"/>
        <v>0.23464626294963092</v>
      </c>
      <c r="E79" s="464">
        <f t="shared" si="226"/>
        <v>0.21045620332137743</v>
      </c>
      <c r="F79" s="464">
        <f t="shared" si="226"/>
        <v>0.19181422438342213</v>
      </c>
      <c r="G79" s="464">
        <f t="shared" si="226"/>
        <v>0.18706566429711727</v>
      </c>
      <c r="H79" s="464">
        <f t="shared" si="226"/>
        <v>0.17024996251600616</v>
      </c>
      <c r="I79" s="464">
        <f t="shared" si="226"/>
        <v>0.18984269442778731</v>
      </c>
      <c r="J79" s="464">
        <f t="shared" si="226"/>
        <v>0.19795545643662071</v>
      </c>
      <c r="K79" s="464">
        <f t="shared" si="226"/>
        <v>0.19173237099000259</v>
      </c>
      <c r="L79" s="464">
        <f t="shared" si="226"/>
        <v>0.17126836415075272</v>
      </c>
      <c r="M79" s="464">
        <f t="shared" si="226"/>
        <v>0.17007954325527386</v>
      </c>
      <c r="N79" s="464">
        <f t="shared" si="226"/>
        <v>0.18704249137461409</v>
      </c>
      <c r="O79" s="464">
        <f t="shared" si="226"/>
        <v>0.20348692606519145</v>
      </c>
      <c r="P79" s="464">
        <f t="shared" si="226"/>
        <v>0.20723682692307688</v>
      </c>
      <c r="Q79" s="464">
        <f t="shared" si="226"/>
        <v>0.2301089713915378</v>
      </c>
      <c r="R79" s="464">
        <f t="shared" si="226"/>
        <v>0.23105918644488763</v>
      </c>
      <c r="S79" s="464">
        <f t="shared" si="226"/>
        <v>0.22859518471647552</v>
      </c>
      <c r="T79" s="464">
        <f t="shared" si="226"/>
        <v>0.21266483670221076</v>
      </c>
      <c r="U79" s="464">
        <f t="shared" si="226"/>
        <v>0.2293902902651189</v>
      </c>
      <c r="V79" s="464">
        <f t="shared" si="226"/>
        <v>0.22639836108395264</v>
      </c>
      <c r="W79" s="464">
        <f t="shared" si="226"/>
        <v>0.19045491220176933</v>
      </c>
      <c r="X79" s="464">
        <f t="shared" si="226"/>
        <v>0.15315753793585568</v>
      </c>
      <c r="Y79" s="464">
        <f t="shared" si="226"/>
        <v>0.1398013836349617</v>
      </c>
      <c r="Z79" s="464">
        <f t="shared" si="226"/>
        <v>0.15947081278829334</v>
      </c>
      <c r="AA79" s="464">
        <f t="shared" si="226"/>
        <v>0.1672856609864363</v>
      </c>
      <c r="AB79" s="464">
        <f t="shared" si="226"/>
        <v>0.17609676410817568</v>
      </c>
      <c r="AC79" s="464">
        <f t="shared" si="226"/>
        <v>0.19737000406893826</v>
      </c>
      <c r="AD79" s="464">
        <f t="shared" si="226"/>
        <v>0.20534386301572069</v>
      </c>
      <c r="AE79" s="464">
        <f t="shared" si="226"/>
        <v>0.22089026512329824</v>
      </c>
      <c r="AF79" s="464">
        <f t="shared" si="226"/>
        <v>0.23227345005850827</v>
      </c>
      <c r="AG79" s="464">
        <f t="shared" si="226"/>
        <v>0.23761651994705429</v>
      </c>
      <c r="AH79" s="464">
        <f t="shared" si="226"/>
        <v>0.24657290067708379</v>
      </c>
      <c r="AI79" s="464">
        <f t="shared" ref="AI79:AK79" si="227">+AI78/AI$11</f>
        <v>0.25151194199601934</v>
      </c>
      <c r="AJ79" s="464">
        <f t="shared" si="227"/>
        <v>0.22538663175476695</v>
      </c>
      <c r="AK79" s="464">
        <f t="shared" si="227"/>
        <v>0.21379500706727944</v>
      </c>
      <c r="AL79" s="464">
        <f t="shared" ref="AL79:AM79" si="228">+AL78/AL$11</f>
        <v>0.21516511241234731</v>
      </c>
      <c r="AM79" s="464">
        <f t="shared" si="228"/>
        <v>0.21651073205401558</v>
      </c>
      <c r="AN79" s="464">
        <f t="shared" ref="AN79:AO79" si="229">+AN78/AN$11</f>
        <v>0.21256055182699474</v>
      </c>
      <c r="AO79" s="464">
        <f t="shared" si="229"/>
        <v>0.22872070682967699</v>
      </c>
      <c r="AP79" s="529">
        <f t="shared" ref="AP79:AS79" si="230">+AP78/AP$11</f>
        <v>0.22618274582413231</v>
      </c>
      <c r="AQ79" s="529">
        <f t="shared" si="230"/>
        <v>0.23241362411080338</v>
      </c>
      <c r="AR79" s="529">
        <f t="shared" si="230"/>
        <v>0.21559598045180325</v>
      </c>
      <c r="AS79" s="529">
        <f t="shared" si="230"/>
        <v>0.2349742540851692</v>
      </c>
      <c r="AU79" s="529">
        <v>0.22202296430520499</v>
      </c>
      <c r="AW79" s="463">
        <f t="shared" ref="AW79:CD79" si="231">+AW78/AW$11</f>
        <v>0.2855529706296896</v>
      </c>
      <c r="AX79" s="463">
        <f t="shared" si="231"/>
        <v>0.30842526513609825</v>
      </c>
      <c r="AY79" s="463">
        <f t="shared" si="231"/>
        <v>0.33026411028032288</v>
      </c>
      <c r="AZ79" s="463">
        <f t="shared" si="231"/>
        <v>0.31982744778916927</v>
      </c>
      <c r="BA79" s="463">
        <f t="shared" si="231"/>
        <v>0.31250249856802076</v>
      </c>
      <c r="BB79" s="463">
        <f t="shared" si="231"/>
        <v>0.29216235794642659</v>
      </c>
      <c r="BC79" s="463">
        <f t="shared" si="231"/>
        <v>0.26172922618484079</v>
      </c>
      <c r="BD79" s="463">
        <f t="shared" si="231"/>
        <v>0.24358670470175903</v>
      </c>
      <c r="BE79" s="463">
        <f t="shared" si="231"/>
        <v>0.24401843160163753</v>
      </c>
      <c r="BF79" s="463">
        <f t="shared" si="231"/>
        <v>0.28612118854804852</v>
      </c>
      <c r="BG79" s="463">
        <f t="shared" si="231"/>
        <v>0.26200977428876127</v>
      </c>
      <c r="BH79" s="463">
        <f t="shared" si="231"/>
        <v>0.25816442836182368</v>
      </c>
      <c r="BI79" s="463">
        <f t="shared" si="231"/>
        <v>0.2713339743286905</v>
      </c>
      <c r="BJ79" s="463">
        <f t="shared" si="231"/>
        <v>0.26267058611871297</v>
      </c>
      <c r="BK79" s="463">
        <f t="shared" si="231"/>
        <v>0.2163437131661626</v>
      </c>
      <c r="BL79" s="463">
        <f t="shared" si="231"/>
        <v>0.22654183231401842</v>
      </c>
      <c r="BM79" s="463">
        <f t="shared" si="231"/>
        <v>0.24287800906248347</v>
      </c>
      <c r="BN79" s="463">
        <f t="shared" si="231"/>
        <v>0.20167250647124232</v>
      </c>
      <c r="BO79" s="463">
        <f t="shared" si="231"/>
        <v>0.22163693525918002</v>
      </c>
      <c r="BP79" s="463">
        <f t="shared" si="231"/>
        <v>0.22485540290679024</v>
      </c>
      <c r="BQ79" s="463">
        <f t="shared" si="231"/>
        <v>0.18453395350709201</v>
      </c>
      <c r="BR79" s="463">
        <f t="shared" si="231"/>
        <v>0.18267845185535023</v>
      </c>
      <c r="BS79" s="463">
        <f t="shared" si="231"/>
        <v>0.20631347896041485</v>
      </c>
      <c r="BT79" s="463">
        <f t="shared" si="231"/>
        <v>0.22491963292639575</v>
      </c>
      <c r="BU79" s="463">
        <f t="shared" si="231"/>
        <v>0.17773697224096827</v>
      </c>
      <c r="BV79" s="463">
        <f t="shared" si="231"/>
        <v>0.17480011115882454</v>
      </c>
      <c r="BW79" s="463">
        <f t="shared" si="231"/>
        <v>0.22353032302254042</v>
      </c>
      <c r="BX79" s="463">
        <f t="shared" si="231"/>
        <v>0.23451465724126097</v>
      </c>
      <c r="BY79" s="463">
        <f>+BY78/BY$11</f>
        <v>0.21831783672323204</v>
      </c>
      <c r="BZ79" s="463">
        <f>+BZ78/BZ$11</f>
        <v>0.22743565710757141</v>
      </c>
      <c r="CA79" s="529">
        <f t="shared" si="231"/>
        <v>0.22241681718580733</v>
      </c>
      <c r="CB79" s="529">
        <f t="shared" si="231"/>
        <v>0.21836903113866263</v>
      </c>
      <c r="CC79" s="529">
        <f t="shared" si="231"/>
        <v>0.21419880968411237</v>
      </c>
      <c r="CD79" s="529">
        <f t="shared" si="231"/>
        <v>0.20991498398294925</v>
      </c>
    </row>
    <row r="80" spans="1:82" ht="17.25" customHeight="1">
      <c r="B80" s="431"/>
      <c r="C80" s="431"/>
      <c r="D80" s="431"/>
      <c r="E80" s="431"/>
      <c r="F80" s="431"/>
      <c r="G80" s="431"/>
      <c r="H80" s="431"/>
      <c r="I80" s="431"/>
      <c r="J80" s="431"/>
      <c r="K80" s="431"/>
      <c r="L80" s="431"/>
      <c r="M80" s="431"/>
      <c r="N80" s="431"/>
      <c r="O80" s="431"/>
      <c r="P80" s="431"/>
      <c r="Q80" s="431"/>
      <c r="R80" s="431"/>
      <c r="S80" s="431"/>
      <c r="T80" s="431"/>
      <c r="U80" s="431"/>
      <c r="V80" s="431"/>
      <c r="W80" s="431"/>
      <c r="X80" s="431"/>
      <c r="Y80" s="431"/>
      <c r="Z80" s="431"/>
      <c r="AA80" s="431"/>
      <c r="AB80" s="431"/>
      <c r="AC80" s="431"/>
      <c r="AD80" s="431"/>
      <c r="AE80" s="431"/>
      <c r="AF80" s="431"/>
      <c r="AG80" s="431"/>
      <c r="AH80" s="431"/>
      <c r="AI80" s="431"/>
      <c r="AJ80" s="431"/>
      <c r="AK80" s="431"/>
      <c r="AL80" s="431"/>
      <c r="AM80" s="431"/>
      <c r="AN80" s="431">
        <f>+AN78/AJ78-1</f>
        <v>-3.8599246761866657E-2</v>
      </c>
      <c r="AO80" s="431">
        <f>+AO78/AK78-1</f>
        <v>9.2142666687046848E-2</v>
      </c>
      <c r="AP80" s="432"/>
      <c r="AQ80" s="432"/>
      <c r="AR80" s="432"/>
      <c r="AS80" s="432"/>
      <c r="AU80" s="432"/>
      <c r="AW80" s="438"/>
      <c r="AX80" s="438"/>
      <c r="AY80" s="438"/>
      <c r="AZ80" s="438"/>
      <c r="BA80" s="438"/>
      <c r="BB80" s="438"/>
      <c r="BC80" s="438"/>
      <c r="BD80" s="438"/>
      <c r="BE80" s="438"/>
      <c r="BF80" s="438"/>
      <c r="BG80" s="438"/>
      <c r="BH80" s="438"/>
      <c r="BI80" s="438"/>
      <c r="BJ80" s="438"/>
      <c r="BK80" s="438"/>
      <c r="BL80" s="438"/>
      <c r="BM80" s="438"/>
      <c r="BN80" s="438"/>
      <c r="BO80" s="438"/>
      <c r="BP80" s="438"/>
      <c r="BQ80" s="438"/>
      <c r="BR80" s="438"/>
      <c r="BS80" s="438"/>
      <c r="BT80" s="438"/>
      <c r="BU80" s="438"/>
      <c r="BV80" s="438"/>
      <c r="BW80" s="438"/>
      <c r="BX80" s="438"/>
      <c r="BY80" s="438"/>
      <c r="BZ80" s="438"/>
      <c r="CA80" s="432"/>
      <c r="CB80" s="432"/>
      <c r="CC80" s="432"/>
      <c r="CD80" s="432"/>
    </row>
    <row r="81" spans="1:82" ht="17.25" customHeight="1">
      <c r="A81" s="423" t="s">
        <v>216</v>
      </c>
      <c r="B81" s="530">
        <f>+PROJ!B65</f>
        <v>-408.221</v>
      </c>
      <c r="C81" s="530">
        <f>+PROJ!C65</f>
        <v>-412.51600000000002</v>
      </c>
      <c r="D81" s="530">
        <f>+PROJ!D65</f>
        <v>-412.26299999999998</v>
      </c>
      <c r="E81" s="530">
        <f>+PROJ!E65</f>
        <v>-367.91899999999998</v>
      </c>
      <c r="F81" s="530">
        <f>+PROJ!F65</f>
        <v>-436.14299999999997</v>
      </c>
      <c r="G81" s="530">
        <f>+PROJ!G65</f>
        <v>-415.11200000000002</v>
      </c>
      <c r="H81" s="530">
        <f>+PROJ!H65</f>
        <v>-367.93599999999998</v>
      </c>
      <c r="I81" s="530">
        <f>+PROJ!I65</f>
        <v>-380.63299999999998</v>
      </c>
      <c r="J81" s="530">
        <f>+PROJ!J65</f>
        <v>-416</v>
      </c>
      <c r="K81" s="530">
        <f>+PROJ!K65</f>
        <v>-403</v>
      </c>
      <c r="L81" s="530">
        <f>+PROJ!L65</f>
        <v>-361</v>
      </c>
      <c r="M81" s="530">
        <f>+PROJ!M65</f>
        <v>-382.33799999999997</v>
      </c>
      <c r="N81" s="530">
        <f>+PROJ!N65</f>
        <v>-498</v>
      </c>
      <c r="O81" s="530">
        <f>+PROJ!O65</f>
        <v>-504.77099999999996</v>
      </c>
      <c r="P81" s="530">
        <f>+PROJ!P65</f>
        <v>-483.22900000000004</v>
      </c>
      <c r="Q81" s="530">
        <f>+PROJ!Q65</f>
        <v>-459.45499999999998</v>
      </c>
      <c r="R81" s="530">
        <f>+PROJ!R65</f>
        <v>-512.78499999999997</v>
      </c>
      <c r="S81" s="530">
        <f>+PROJ!S65</f>
        <v>-511.46300000000008</v>
      </c>
      <c r="T81" s="530">
        <f>+PROJ!T65</f>
        <v>-485.13200000000001</v>
      </c>
      <c r="U81" s="530">
        <f>+PROJ!U65</f>
        <v>-443.95499999999998</v>
      </c>
      <c r="V81" s="530">
        <f>+PROJ!V65</f>
        <v>-501</v>
      </c>
      <c r="W81" s="530">
        <f>+PROJ!W65</f>
        <v>-486</v>
      </c>
      <c r="X81" s="530">
        <f>+PROJ!X65</f>
        <v>-497.41699999999992</v>
      </c>
      <c r="Y81" s="530">
        <f>+PROJ!Y65</f>
        <v>-450.86399999999998</v>
      </c>
      <c r="Z81" s="530">
        <f>+PROJ!Z65</f>
        <v>-509</v>
      </c>
      <c r="AA81" s="530">
        <f>+PROJ!AA65</f>
        <v>-519</v>
      </c>
      <c r="AB81" s="530">
        <f>+PROJ!AB65</f>
        <v>-503</v>
      </c>
      <c r="AC81" s="530">
        <f>+PROJ!AC65</f>
        <v>-437.72600000000011</v>
      </c>
      <c r="AD81" s="530">
        <f>+PROJ!AD65</f>
        <v>-482.959</v>
      </c>
      <c r="AE81" s="530">
        <f>+PROJ!AE65</f>
        <v>-482.92199999999997</v>
      </c>
      <c r="AF81" s="530">
        <f>+PROJ!AF65</f>
        <v>-486.11899999999997</v>
      </c>
      <c r="AG81" s="530">
        <f>+PROJ!AG65</f>
        <v>-532.52</v>
      </c>
      <c r="AH81" s="530">
        <f>+PROJ!AH65</f>
        <v>-494.13200000000001</v>
      </c>
      <c r="AI81" s="530">
        <f>+PROJ!AI65</f>
        <v>-495.32099999999997</v>
      </c>
      <c r="AJ81" s="530">
        <f>+PROJ!AJ65</f>
        <v>-499.815</v>
      </c>
      <c r="AK81" s="530">
        <f>+PROJ!AK65</f>
        <v>-558.40499999999997</v>
      </c>
      <c r="AL81" s="530">
        <f>+PROJ!AL65</f>
        <v>-494.19</v>
      </c>
      <c r="AM81" s="530">
        <f>+PROJ!AM65</f>
        <v>-522.58300000000008</v>
      </c>
      <c r="AN81" s="530">
        <f>+PROJ!AN65</f>
        <v>-501.90399999999983</v>
      </c>
      <c r="AO81" s="530">
        <f>+PROJ!AO65</f>
        <v>-497.92000000000013</v>
      </c>
      <c r="AP81" s="531">
        <f>+PROJ!AP65</f>
        <v>-498.05660299808318</v>
      </c>
      <c r="AQ81" s="531">
        <f>+PROJ!AQ65</f>
        <v>-524.74897095991037</v>
      </c>
      <c r="AR81" s="531">
        <f>+PROJ!AR65</f>
        <v>-495.78531879241024</v>
      </c>
      <c r="AS81" s="531">
        <f>+PROJ!AS65</f>
        <v>-491.67429005274522</v>
      </c>
      <c r="AU81" s="531">
        <v>-569.46815384759225</v>
      </c>
      <c r="AW81" s="530">
        <f>+PROJ!AW65</f>
        <v>-612.14200000000005</v>
      </c>
      <c r="AX81" s="530">
        <f>+PROJ!AX65</f>
        <v>-709.51700000000005</v>
      </c>
      <c r="AY81" s="530">
        <f>+PROJ!AY65</f>
        <v>-811.74199999999996</v>
      </c>
      <c r="AZ81" s="530">
        <f>+PROJ!AZ65</f>
        <v>-835.99400000000003</v>
      </c>
      <c r="BA81" s="530">
        <f>+PROJ!BA65</f>
        <v>-931.03099999999995</v>
      </c>
      <c r="BB81" s="530">
        <f>+PROJ!BB65</f>
        <v>-1083.713</v>
      </c>
      <c r="BC81" s="530">
        <f>+PROJ!BC65</f>
        <v>-1171.366</v>
      </c>
      <c r="BD81" s="530">
        <f>+PROJ!BD65</f>
        <v>-1241.009</v>
      </c>
      <c r="BE81" s="530">
        <f>+PROJ!BE65</f>
        <v>-1284.933</v>
      </c>
      <c r="BF81" s="530">
        <f>+PROJ!BF65</f>
        <v>-1001.336</v>
      </c>
      <c r="BG81" s="530">
        <f>+PROJ!BG65</f>
        <v>-1045.5050000000001</v>
      </c>
      <c r="BH81" s="530">
        <f>+PROJ!BH65</f>
        <v>-1154.9929999999999</v>
      </c>
      <c r="BI81" s="530">
        <f>+PROJ!BI65</f>
        <v>-1194.231</v>
      </c>
      <c r="BJ81" s="530">
        <f>+PROJ!BJ65</f>
        <v>-1189.5830000000001</v>
      </c>
      <c r="BK81" s="530">
        <f>+PROJ!BK65</f>
        <v>-1343</v>
      </c>
      <c r="BL81" s="530">
        <f>+PROJ!BL65</f>
        <v>-1498.4739999999999</v>
      </c>
      <c r="BM81" s="530">
        <f>+PROJ!BM65</f>
        <v>-1516.913</v>
      </c>
      <c r="BN81" s="530">
        <f>+PROJ!BN65</f>
        <v>-1616</v>
      </c>
      <c r="BO81" s="530">
        <f>+PROJ!BO65</f>
        <v>-1664.7729999999999</v>
      </c>
      <c r="BP81" s="530">
        <f>+PROJ!BP65</f>
        <v>-1600.9190000000001</v>
      </c>
      <c r="BQ81" s="530">
        <f>+PROJ!BQ65</f>
        <v>-380.63299999999998</v>
      </c>
      <c r="BR81" s="530">
        <f>+PROJ!BR65</f>
        <v>-382.33799999999997</v>
      </c>
      <c r="BS81" s="530">
        <f>+PROJ!BS65</f>
        <v>-459.45499999999998</v>
      </c>
      <c r="BT81" s="530">
        <f>+PROJ!BT65</f>
        <v>-1953.335</v>
      </c>
      <c r="BU81" s="530">
        <f>+PROJ!BU65</f>
        <v>-1935.2809999999999</v>
      </c>
      <c r="BV81" s="530">
        <f>+PROJ!BV65</f>
        <v>-1968.7260000000001</v>
      </c>
      <c r="BW81" s="530">
        <f>+PROJ!BW65</f>
        <v>-1984.52</v>
      </c>
      <c r="BX81" s="530">
        <f>+SUMIFS($A81:$AO81,$A$1:$AO$1,"&lt;="&amp;BX$1,$A$1:$AO$1,"&gt;"&amp;BW$1)</f>
        <v>-2047.673</v>
      </c>
      <c r="BY81" s="530">
        <f>+SUMIFS($A81:$AS81,$A$1:$AS$1,"&lt;="&amp;BY$1,$A$1:$AS$1,"&gt;"&amp;BX$1)</f>
        <v>-2016.597</v>
      </c>
      <c r="BZ81" s="530">
        <f>+SUMIFS($A81:$AS81,$A$1:$AS$1,"&lt;="&amp;BZ$1,$A$1:$AS$1,"&gt;"&amp;BY$1)</f>
        <v>-2010.2651828031489</v>
      </c>
      <c r="CA81" s="531">
        <f>+PROJ!CA65</f>
        <v>-1995.2862403597649</v>
      </c>
      <c r="CB81" s="531">
        <f>+PROJ!CB65</f>
        <v>-1998.2717399968112</v>
      </c>
      <c r="CC81" s="531">
        <f>+PROJ!CC65</f>
        <v>-2005.1974102159861</v>
      </c>
      <c r="CD81" s="531">
        <f>+PROJ!CD65</f>
        <v>-2015.7342027889047</v>
      </c>
    </row>
    <row r="82" spans="1:82" ht="17.25" customHeight="1">
      <c r="A82" s="423" t="s">
        <v>217</v>
      </c>
      <c r="B82" s="431">
        <f t="shared" ref="B82:AI82" si="232">-B81/B11</f>
        <v>4.6769726626565013E-2</v>
      </c>
      <c r="C82" s="431">
        <f t="shared" si="232"/>
        <v>4.6710396470393614E-2</v>
      </c>
      <c r="D82" s="431">
        <f t="shared" si="232"/>
        <v>4.7280811178952997E-2</v>
      </c>
      <c r="E82" s="431">
        <f t="shared" si="232"/>
        <v>3.9218890440934434E-2</v>
      </c>
      <c r="F82" s="431">
        <f t="shared" si="232"/>
        <v>4.5762828172433198E-2</v>
      </c>
      <c r="G82" s="431">
        <f t="shared" si="232"/>
        <v>4.3214252066827642E-2</v>
      </c>
      <c r="H82" s="431">
        <f t="shared" si="232"/>
        <v>4.0004962348021297E-2</v>
      </c>
      <c r="I82" s="431">
        <f t="shared" si="232"/>
        <v>4.0355115431493005E-2</v>
      </c>
      <c r="J82" s="431">
        <f t="shared" si="232"/>
        <v>4.0755281580787651E-2</v>
      </c>
      <c r="K82" s="431">
        <f t="shared" si="232"/>
        <v>3.8059807351265955E-2</v>
      </c>
      <c r="L82" s="431">
        <f t="shared" si="232"/>
        <v>3.6475699706981911E-2</v>
      </c>
      <c r="M82" s="431">
        <f t="shared" si="232"/>
        <v>3.6998064640990903E-2</v>
      </c>
      <c r="N82" s="431">
        <f t="shared" si="232"/>
        <v>4.5215180679135644E-2</v>
      </c>
      <c r="O82" s="431">
        <f t="shared" si="232"/>
        <v>4.4725693383327145E-2</v>
      </c>
      <c r="P82" s="431">
        <f t="shared" si="232"/>
        <v>4.6464326923076928E-2</v>
      </c>
      <c r="Q82" s="431">
        <f t="shared" si="232"/>
        <v>4.2538190908249236E-2</v>
      </c>
      <c r="R82" s="431">
        <f t="shared" si="232"/>
        <v>4.3856873252152408E-2</v>
      </c>
      <c r="S82" s="431">
        <f t="shared" si="232"/>
        <v>4.1456777392774202E-2</v>
      </c>
      <c r="T82" s="431">
        <f t="shared" si="232"/>
        <v>4.3716932295670613E-2</v>
      </c>
      <c r="U82" s="431">
        <f t="shared" si="232"/>
        <v>3.8350406032888459E-2</v>
      </c>
      <c r="V82" s="431">
        <f t="shared" si="232"/>
        <v>4.1374256244064843E-2</v>
      </c>
      <c r="W82" s="431">
        <f t="shared" si="232"/>
        <v>4.1459730573173093E-2</v>
      </c>
      <c r="X82" s="431">
        <f t="shared" si="232"/>
        <v>4.3850437563748013E-2</v>
      </c>
      <c r="Y82" s="431">
        <f t="shared" si="232"/>
        <v>3.8472001171403418E-2</v>
      </c>
      <c r="Z82" s="431">
        <f t="shared" si="232"/>
        <v>4.0480356290758711E-2</v>
      </c>
      <c r="AA82" s="431">
        <f t="shared" si="232"/>
        <v>4.0248654481276659E-2</v>
      </c>
      <c r="AB82" s="431">
        <f t="shared" si="232"/>
        <v>3.9315304048772863E-2</v>
      </c>
      <c r="AC82" s="431">
        <f t="shared" si="232"/>
        <v>3.4218636831434571E-2</v>
      </c>
      <c r="AD82" s="431">
        <f t="shared" si="232"/>
        <v>3.5645361281275371E-2</v>
      </c>
      <c r="AE82" s="431">
        <f t="shared" si="232"/>
        <v>3.5213611245441909E-2</v>
      </c>
      <c r="AF82" s="431">
        <f t="shared" si="232"/>
        <v>3.8359971336491709E-2</v>
      </c>
      <c r="AG82" s="431">
        <f t="shared" si="232"/>
        <v>3.9825230269059618E-2</v>
      </c>
      <c r="AH82" s="431">
        <f t="shared" si="232"/>
        <v>3.5833731520553531E-2</v>
      </c>
      <c r="AI82" s="431">
        <f t="shared" si="232"/>
        <v>3.5209056013647995E-2</v>
      </c>
      <c r="AJ82" s="431">
        <f t="shared" ref="AJ82:AK82" si="233">-AJ81/AJ11</f>
        <v>3.7995350080382309E-2</v>
      </c>
      <c r="AK82" s="431">
        <f t="shared" si="233"/>
        <v>4.0550803369288443E-2</v>
      </c>
      <c r="AL82" s="431">
        <f t="shared" ref="AL82:AM82" si="234">-AL81/AL11</f>
        <v>3.5725439167208849E-2</v>
      </c>
      <c r="AM82" s="431">
        <f t="shared" si="234"/>
        <v>3.7141648898365319E-2</v>
      </c>
      <c r="AN82" s="431">
        <f t="shared" ref="AN82:AO82" si="235">-AN81/AN11</f>
        <v>3.7427591349738991E-2</v>
      </c>
      <c r="AO82" s="431">
        <f t="shared" si="235"/>
        <v>3.5419162441233346E-2</v>
      </c>
      <c r="AP82" s="432">
        <f t="shared" ref="AP82:AS82" si="236">-AP81/AP11</f>
        <v>3.5298979776839642E-2</v>
      </c>
      <c r="AQ82" s="432">
        <f t="shared" si="236"/>
        <v>3.6385942826627174E-2</v>
      </c>
      <c r="AR82" s="432">
        <f t="shared" si="236"/>
        <v>3.6069574492454508E-2</v>
      </c>
      <c r="AS82" s="432">
        <f t="shared" si="236"/>
        <v>3.4121832770777669E-2</v>
      </c>
      <c r="AU82" s="432">
        <v>4.0743052565305596E-2</v>
      </c>
      <c r="AW82" s="438">
        <f t="shared" ref="AW82:BX82" si="237">-AW81/AW11</f>
        <v>5.9399688029906438E-2</v>
      </c>
      <c r="AX82" s="438">
        <f t="shared" si="237"/>
        <v>5.7732532035295173E-2</v>
      </c>
      <c r="AY82" s="438">
        <f t="shared" si="237"/>
        <v>5.8532521328256787E-2</v>
      </c>
      <c r="AZ82" s="438">
        <f t="shared" si="237"/>
        <v>5.255716984901776E-2</v>
      </c>
      <c r="BA82" s="438">
        <f t="shared" si="237"/>
        <v>5.9551853641640902E-2</v>
      </c>
      <c r="BB82" s="438">
        <f t="shared" si="237"/>
        <v>6.7327926620460679E-2</v>
      </c>
      <c r="BC82" s="438">
        <f t="shared" si="237"/>
        <v>6.8500258681653964E-2</v>
      </c>
      <c r="BD82" s="438">
        <f t="shared" si="237"/>
        <v>6.2680675990783127E-2</v>
      </c>
      <c r="BE82" s="438">
        <f t="shared" si="237"/>
        <v>5.8450909184203835E-2</v>
      </c>
      <c r="BF82" s="438">
        <f t="shared" si="237"/>
        <v>4.98562272386349E-2</v>
      </c>
      <c r="BG82" s="438">
        <f t="shared" si="237"/>
        <v>4.8672889162794469E-2</v>
      </c>
      <c r="BH82" s="438">
        <f t="shared" si="237"/>
        <v>5.0104847740639419E-2</v>
      </c>
      <c r="BI82" s="438">
        <f t="shared" si="237"/>
        <v>4.8345113454842319E-2</v>
      </c>
      <c r="BJ82" s="438">
        <f t="shared" si="237"/>
        <v>4.5409964583462407E-2</v>
      </c>
      <c r="BK82" s="438">
        <f t="shared" si="237"/>
        <v>5.0238693647326541E-2</v>
      </c>
      <c r="BL82" s="438">
        <f t="shared" si="237"/>
        <v>5.1162318095768641E-2</v>
      </c>
      <c r="BM82" s="438">
        <f t="shared" si="237"/>
        <v>5.1113206374819239E-2</v>
      </c>
      <c r="BN82" s="438">
        <f t="shared" si="237"/>
        <v>5.5519571284466926E-2</v>
      </c>
      <c r="BO82" s="438">
        <f t="shared" si="237"/>
        <v>5.1691017335339484E-2</v>
      </c>
      <c r="BP82" s="438">
        <f t="shared" si="237"/>
        <v>4.4893599450032594E-2</v>
      </c>
      <c r="BQ82" s="438">
        <f t="shared" si="237"/>
        <v>1.0078785651341321E-2</v>
      </c>
      <c r="BR82" s="438">
        <f t="shared" si="237"/>
        <v>9.3192109443217489E-3</v>
      </c>
      <c r="BS82" s="438">
        <f t="shared" si="237"/>
        <v>1.0561958343464342E-2</v>
      </c>
      <c r="BT82" s="438">
        <f t="shared" si="237"/>
        <v>4.1824709153468961E-2</v>
      </c>
      <c r="BU82" s="438">
        <f t="shared" si="237"/>
        <v>4.1269299419202425E-2</v>
      </c>
      <c r="BV82" s="438">
        <f t="shared" si="237"/>
        <v>3.8560978974858343E-2</v>
      </c>
      <c r="BW82" s="438">
        <f t="shared" si="237"/>
        <v>3.7228093677808563E-2</v>
      </c>
      <c r="BX82" s="438">
        <f t="shared" si="237"/>
        <v>3.7378084040629096E-2</v>
      </c>
      <c r="BY82" s="438">
        <f t="shared" ref="BY82:CD82" si="238">-BY81/BY11</f>
        <v>3.6419780365967144E-2</v>
      </c>
      <c r="BZ82" s="438">
        <f t="shared" ref="BZ82" si="239">-BZ81/BZ11</f>
        <v>3.5463146727357071E-2</v>
      </c>
      <c r="CA82" s="438">
        <f t="shared" si="238"/>
        <v>3.4508728202737059E-2</v>
      </c>
      <c r="CB82" s="438">
        <f t="shared" si="238"/>
        <v>3.3882708624541645E-2</v>
      </c>
      <c r="CC82" s="438">
        <f t="shared" si="238"/>
        <v>3.3333470915527227E-2</v>
      </c>
      <c r="CD82" s="438">
        <f t="shared" si="238"/>
        <v>3.2851597709783409E-2</v>
      </c>
    </row>
    <row r="83" spans="1:82" ht="17.25" customHeight="1">
      <c r="B83" s="431"/>
      <c r="C83" s="431"/>
      <c r="D83" s="431"/>
      <c r="E83" s="431"/>
      <c r="F83" s="431"/>
      <c r="G83" s="431"/>
      <c r="H83" s="431"/>
      <c r="I83" s="431"/>
      <c r="J83" s="431"/>
      <c r="K83" s="431"/>
      <c r="L83" s="431"/>
      <c r="M83" s="431"/>
      <c r="N83" s="431"/>
      <c r="O83" s="431"/>
      <c r="P83" s="431"/>
      <c r="Q83" s="431"/>
      <c r="R83" s="431"/>
      <c r="S83" s="431"/>
      <c r="T83" s="431"/>
      <c r="U83" s="431"/>
      <c r="V83" s="431"/>
      <c r="W83" s="431"/>
      <c r="X83" s="431"/>
      <c r="Y83" s="431"/>
      <c r="Z83" s="431"/>
      <c r="AA83" s="431"/>
      <c r="AB83" s="431"/>
      <c r="AC83" s="431"/>
      <c r="AD83" s="431"/>
      <c r="AE83" s="431"/>
      <c r="AF83" s="431"/>
      <c r="AG83" s="431"/>
      <c r="AH83" s="431"/>
      <c r="AI83" s="431"/>
      <c r="AJ83" s="431"/>
      <c r="AK83" s="431"/>
      <c r="AL83" s="431"/>
      <c r="AM83" s="431"/>
      <c r="AN83" s="431"/>
      <c r="AO83" s="431"/>
      <c r="AP83" s="435"/>
      <c r="AQ83" s="435"/>
      <c r="AR83" s="435"/>
      <c r="AS83" s="435"/>
      <c r="AU83" s="435"/>
      <c r="AW83" s="438"/>
      <c r="AX83" s="438"/>
      <c r="AY83" s="438"/>
      <c r="AZ83" s="438"/>
      <c r="BA83" s="438"/>
      <c r="BB83" s="438"/>
      <c r="BC83" s="438"/>
      <c r="BD83" s="438"/>
      <c r="BE83" s="438"/>
      <c r="BF83" s="438"/>
      <c r="BG83" s="438"/>
      <c r="BH83" s="438"/>
      <c r="BI83" s="438"/>
      <c r="BJ83" s="438"/>
      <c r="BK83" s="438"/>
      <c r="BL83" s="438"/>
      <c r="BM83" s="438"/>
      <c r="BN83" s="438"/>
      <c r="BO83" s="438"/>
      <c r="BP83" s="438"/>
      <c r="BQ83" s="438"/>
      <c r="BR83" s="438"/>
      <c r="BS83" s="438"/>
      <c r="BT83" s="438"/>
      <c r="BU83" s="438"/>
      <c r="BV83" s="438"/>
      <c r="BW83" s="438"/>
      <c r="BX83" s="438"/>
      <c r="BY83" s="438"/>
      <c r="BZ83" s="437">
        <f>+BZ84/BV84-1</f>
        <v>0.36808236476993872</v>
      </c>
      <c r="CA83" s="432"/>
      <c r="CB83" s="432"/>
      <c r="CC83" s="432"/>
      <c r="CD83" s="432"/>
    </row>
    <row r="84" spans="1:82" s="615" customFormat="1" ht="17.25" customHeight="1">
      <c r="A84" s="614" t="s">
        <v>12</v>
      </c>
      <c r="B84" s="615">
        <f t="shared" ref="B84:I84" si="240">+B78-B81</f>
        <v>2458.6849999999986</v>
      </c>
      <c r="C84" s="615">
        <f t="shared" si="240"/>
        <v>2360.148999999999</v>
      </c>
      <c r="D84" s="615">
        <f t="shared" si="240"/>
        <v>2458.2510000000002</v>
      </c>
      <c r="E84" s="615">
        <f t="shared" si="240"/>
        <v>2342.2439999999997</v>
      </c>
      <c r="F84" s="615">
        <f t="shared" si="240"/>
        <v>2264.2299999999996</v>
      </c>
      <c r="G84" s="615">
        <f t="shared" si="240"/>
        <v>2212.0470000000005</v>
      </c>
      <c r="H84" s="615">
        <f t="shared" si="240"/>
        <v>1933.7690000000002</v>
      </c>
      <c r="I84" s="615">
        <f t="shared" si="240"/>
        <v>2171.2459999999996</v>
      </c>
      <c r="J84" s="615">
        <f t="shared" ref="J84:AH84" si="241">+J78-J81</f>
        <v>2436.5839999999998</v>
      </c>
      <c r="K84" s="615">
        <f t="shared" si="241"/>
        <v>2433.1769999999997</v>
      </c>
      <c r="L84" s="615">
        <f t="shared" si="241"/>
        <v>2056.0429999999997</v>
      </c>
      <c r="M84" s="615">
        <f t="shared" si="241"/>
        <v>2139.94</v>
      </c>
      <c r="N84" s="615">
        <f t="shared" si="241"/>
        <v>2558.0859999999998</v>
      </c>
      <c r="O84" s="615">
        <f t="shared" si="241"/>
        <v>2801.3100000000004</v>
      </c>
      <c r="P84" s="615">
        <f t="shared" si="241"/>
        <v>2638.4919999999993</v>
      </c>
      <c r="Q84" s="615">
        <f t="shared" si="241"/>
        <v>2944.8619999999996</v>
      </c>
      <c r="R84" s="615">
        <f t="shared" si="241"/>
        <v>3214.3839999999996</v>
      </c>
      <c r="S84" s="615">
        <f t="shared" si="241"/>
        <v>3331.7010000000005</v>
      </c>
      <c r="T84" s="615">
        <f t="shared" si="241"/>
        <v>2845.0990000000006</v>
      </c>
      <c r="U84" s="615">
        <f t="shared" si="241"/>
        <v>3099.4410000000003</v>
      </c>
      <c r="V84" s="615">
        <f t="shared" si="241"/>
        <v>3242.4529999999995</v>
      </c>
      <c r="W84" s="615">
        <f t="shared" si="241"/>
        <v>2718.5540000000001</v>
      </c>
      <c r="X84" s="615">
        <f t="shared" si="241"/>
        <v>2234.7579999999994</v>
      </c>
      <c r="Y84" s="615">
        <f t="shared" si="241"/>
        <v>2089.2349999999992</v>
      </c>
      <c r="Z84" s="615">
        <f t="shared" si="241"/>
        <v>2514.1860000000006</v>
      </c>
      <c r="AA84" s="615">
        <f t="shared" si="241"/>
        <v>2676.1219999999994</v>
      </c>
      <c r="AB84" s="615">
        <f t="shared" si="241"/>
        <v>2755.9819999999995</v>
      </c>
      <c r="AC84" s="615">
        <f t="shared" si="241"/>
        <v>2962.4900000000007</v>
      </c>
      <c r="AD84" s="615">
        <f t="shared" si="241"/>
        <v>3265.1629999999996</v>
      </c>
      <c r="AE84" s="615">
        <f t="shared" si="241"/>
        <v>3512.2270000000008</v>
      </c>
      <c r="AF84" s="615">
        <f t="shared" si="241"/>
        <v>3429.6179999999995</v>
      </c>
      <c r="AG84" s="615">
        <f t="shared" si="241"/>
        <v>3709.7910000000006</v>
      </c>
      <c r="AH84" s="615">
        <f t="shared" si="241"/>
        <v>3894.2679999999991</v>
      </c>
      <c r="AI84" s="615">
        <f t="shared" ref="AI84:AK84" si="242">+AI78-AI81</f>
        <v>4033.5910000000003</v>
      </c>
      <c r="AJ84" s="615">
        <f t="shared" si="242"/>
        <v>3464.6941000000006</v>
      </c>
      <c r="AK84" s="615">
        <f t="shared" si="242"/>
        <v>3502.4700000000003</v>
      </c>
      <c r="AL84" s="615">
        <f t="shared" ref="AL84:AM84" si="243">+AL78-AL81</f>
        <v>3470.5690000000004</v>
      </c>
      <c r="AM84" s="615">
        <f t="shared" si="243"/>
        <v>3568.8889999999992</v>
      </c>
      <c r="AN84" s="615">
        <f t="shared" ref="AN84:AO84" si="244">+AN78-AN81</f>
        <v>3352.3409999999994</v>
      </c>
      <c r="AO84" s="615">
        <f t="shared" si="244"/>
        <v>3713.2590000000005</v>
      </c>
      <c r="AP84" s="616">
        <f t="shared" ref="AP84:AS84" si="245">+AP78-AP81</f>
        <v>3689.4182444430098</v>
      </c>
      <c r="AQ84" s="616">
        <f t="shared" si="245"/>
        <v>3876.5601544798888</v>
      </c>
      <c r="AR84" s="616">
        <f t="shared" si="245"/>
        <v>3459.2059690975584</v>
      </c>
      <c r="AS84" s="616">
        <f t="shared" si="245"/>
        <v>3877.5064736317245</v>
      </c>
      <c r="AU84" s="616">
        <v>3672.6967936751253</v>
      </c>
      <c r="AW84" s="615">
        <f>+AW78-AW81</f>
        <v>3554.9010000000007</v>
      </c>
      <c r="AX84" s="615">
        <f t="shared" ref="AX84:BP84" si="246">+AX78-AX81</f>
        <v>4499.9790000000003</v>
      </c>
      <c r="AY84" s="615">
        <f t="shared" si="246"/>
        <v>5391.9179999999997</v>
      </c>
      <c r="AZ84" s="615">
        <f t="shared" si="246"/>
        <v>5923.2889999999989</v>
      </c>
      <c r="BA84" s="615">
        <f t="shared" si="246"/>
        <v>5816.6810000000005</v>
      </c>
      <c r="BB84" s="615">
        <f t="shared" si="246"/>
        <v>5786.37</v>
      </c>
      <c r="BC84" s="615">
        <f t="shared" si="246"/>
        <v>5646.9800000000032</v>
      </c>
      <c r="BD84" s="615">
        <f t="shared" si="246"/>
        <v>6063.7599999999993</v>
      </c>
      <c r="BE84" s="615">
        <f t="shared" si="246"/>
        <v>6649.2180000000008</v>
      </c>
      <c r="BF84" s="615">
        <f t="shared" si="246"/>
        <v>6747.9290000000019</v>
      </c>
      <c r="BG84" s="615">
        <f t="shared" si="246"/>
        <v>6673.536000000001</v>
      </c>
      <c r="BH84" s="615">
        <f t="shared" si="246"/>
        <v>7106.0760000000028</v>
      </c>
      <c r="BI84" s="615">
        <f t="shared" si="246"/>
        <v>7896.7789999999977</v>
      </c>
      <c r="BJ84" s="615">
        <f t="shared" si="246"/>
        <v>8070.6380000000008</v>
      </c>
      <c r="BK84" s="615">
        <f t="shared" si="246"/>
        <v>7126.3830000000016</v>
      </c>
      <c r="BL84" s="615">
        <f t="shared" si="246"/>
        <v>8133.5730000000003</v>
      </c>
      <c r="BM84" s="615">
        <f t="shared" si="246"/>
        <v>8724.9289999999983</v>
      </c>
      <c r="BN84" s="615">
        <f t="shared" si="246"/>
        <v>7486.0519999999988</v>
      </c>
      <c r="BO84" s="615">
        <f t="shared" si="246"/>
        <v>8802.8640000000014</v>
      </c>
      <c r="BP84" s="615">
        <f t="shared" si="246"/>
        <v>9619.3289999999979</v>
      </c>
      <c r="BQ84" s="615">
        <f t="shared" ref="BQ84:CD84" si="247">+BQ78-BQ81</f>
        <v>7349.697999999994</v>
      </c>
      <c r="BR84" s="615">
        <f t="shared" si="247"/>
        <v>7877.0620000000017</v>
      </c>
      <c r="BS84" s="615">
        <f t="shared" si="247"/>
        <v>9434.2830000000013</v>
      </c>
      <c r="BT84" s="615">
        <f t="shared" si="247"/>
        <v>12457.733000000004</v>
      </c>
      <c r="BU84" s="615">
        <f t="shared" si="247"/>
        <v>10270.071999999993</v>
      </c>
      <c r="BV84" s="615">
        <f t="shared" si="247"/>
        <v>10893.124000000005</v>
      </c>
      <c r="BW84" s="615">
        <f t="shared" si="247"/>
        <v>13900.263000000006</v>
      </c>
      <c r="BX84" s="615">
        <f t="shared" si="247"/>
        <v>14895.0231</v>
      </c>
      <c r="BY84" s="615">
        <f>+BY78-BY81</f>
        <v>14105.057999999999</v>
      </c>
      <c r="BZ84" s="615">
        <f>+BZ78-BZ81</f>
        <v>14902.69084165218</v>
      </c>
      <c r="CA84" s="616">
        <f t="shared" si="247"/>
        <v>14855.372313316107</v>
      </c>
      <c r="CB84" s="616">
        <f t="shared" si="247"/>
        <v>14876.836693296091</v>
      </c>
      <c r="CC84" s="616">
        <f t="shared" si="247"/>
        <v>14890.471180186831</v>
      </c>
      <c r="CD84" s="616">
        <f t="shared" si="247"/>
        <v>14895.863097290263</v>
      </c>
    </row>
    <row r="85" spans="1:82" s="609" customFormat="1" ht="17.25" customHeight="1">
      <c r="A85" s="609" t="s">
        <v>218</v>
      </c>
      <c r="B85" s="610">
        <f t="shared" ref="B85:AH85" si="248">+B84/B$11</f>
        <v>0.28169061687379121</v>
      </c>
      <c r="C85" s="610">
        <f t="shared" si="248"/>
        <v>0.2672465929059793</v>
      </c>
      <c r="D85" s="610">
        <f t="shared" si="248"/>
        <v>0.28192707412858392</v>
      </c>
      <c r="E85" s="610">
        <f t="shared" si="248"/>
        <v>0.24967509376231187</v>
      </c>
      <c r="F85" s="610">
        <f t="shared" si="248"/>
        <v>0.23757705255585532</v>
      </c>
      <c r="G85" s="610">
        <f t="shared" si="248"/>
        <v>0.23027991636394493</v>
      </c>
      <c r="H85" s="610">
        <f t="shared" si="248"/>
        <v>0.21025492486402744</v>
      </c>
      <c r="I85" s="610">
        <f t="shared" si="248"/>
        <v>0.23019780985928034</v>
      </c>
      <c r="J85" s="610">
        <f t="shared" si="248"/>
        <v>0.23871073801740839</v>
      </c>
      <c r="K85" s="610">
        <f t="shared" si="248"/>
        <v>0.22979217834126858</v>
      </c>
      <c r="L85" s="610">
        <f t="shared" si="248"/>
        <v>0.20774406385773464</v>
      </c>
      <c r="M85" s="610">
        <f t="shared" si="248"/>
        <v>0.20707760789626475</v>
      </c>
      <c r="N85" s="610">
        <f t="shared" si="248"/>
        <v>0.23225767205374975</v>
      </c>
      <c r="O85" s="610">
        <f t="shared" si="248"/>
        <v>0.24821261944851863</v>
      </c>
      <c r="P85" s="610">
        <f t="shared" si="248"/>
        <v>0.25370115384615377</v>
      </c>
      <c r="Q85" s="610">
        <f t="shared" si="248"/>
        <v>0.27264716229978703</v>
      </c>
      <c r="R85" s="610">
        <f t="shared" si="248"/>
        <v>0.27491605969704003</v>
      </c>
      <c r="S85" s="610">
        <f t="shared" si="248"/>
        <v>0.27005196210924975</v>
      </c>
      <c r="T85" s="610">
        <f t="shared" si="248"/>
        <v>0.2563817689978814</v>
      </c>
      <c r="U85" s="610">
        <f t="shared" si="248"/>
        <v>0.26774069629800734</v>
      </c>
      <c r="V85" s="610">
        <f t="shared" si="248"/>
        <v>0.26777261732801749</v>
      </c>
      <c r="W85" s="610">
        <f t="shared" si="248"/>
        <v>0.23191464277494242</v>
      </c>
      <c r="X85" s="610">
        <f t="shared" si="248"/>
        <v>0.19700797549960369</v>
      </c>
      <c r="Y85" s="610">
        <f t="shared" si="248"/>
        <v>0.17827338480636512</v>
      </c>
      <c r="Z85" s="610">
        <f t="shared" si="248"/>
        <v>0.19995116907905205</v>
      </c>
      <c r="AA85" s="610">
        <f t="shared" si="248"/>
        <v>0.20753431546771298</v>
      </c>
      <c r="AB85" s="610">
        <f t="shared" si="248"/>
        <v>0.21541206815694852</v>
      </c>
      <c r="AC85" s="610">
        <f t="shared" si="248"/>
        <v>0.23158864090037282</v>
      </c>
      <c r="AD85" s="610">
        <f t="shared" si="248"/>
        <v>0.24098922429699607</v>
      </c>
      <c r="AE85" s="610">
        <f t="shared" si="248"/>
        <v>0.25610387636874016</v>
      </c>
      <c r="AF85" s="610">
        <f t="shared" si="248"/>
        <v>0.27063342139499996</v>
      </c>
      <c r="AG85" s="610">
        <f t="shared" si="248"/>
        <v>0.27744175021611389</v>
      </c>
      <c r="AH85" s="610">
        <f t="shared" si="248"/>
        <v>0.28240663219763734</v>
      </c>
      <c r="AI85" s="610">
        <f t="shared" ref="AI85:AK85" si="249">+AI84/AI$11</f>
        <v>0.28672099800966733</v>
      </c>
      <c r="AJ85" s="610">
        <f t="shared" si="249"/>
        <v>0.26338198183514927</v>
      </c>
      <c r="AK85" s="610">
        <f t="shared" si="249"/>
        <v>0.2543458104365679</v>
      </c>
      <c r="AL85" s="611">
        <f t="shared" ref="AL85:AM85" si="250">+AL84/AL$11</f>
        <v>0.25089055157955614</v>
      </c>
      <c r="AM85" s="611">
        <f t="shared" si="250"/>
        <v>0.25365238095238091</v>
      </c>
      <c r="AN85" s="611">
        <f t="shared" ref="AN85:AO85" si="251">+AN84/AN$11</f>
        <v>0.24998814317673373</v>
      </c>
      <c r="AO85" s="611">
        <f t="shared" si="251"/>
        <v>0.26413986927091032</v>
      </c>
      <c r="AP85" s="612">
        <f t="shared" ref="AP85:AS85" si="252">+AP84/AP$11</f>
        <v>0.26148172560097194</v>
      </c>
      <c r="AQ85" s="612">
        <f t="shared" si="252"/>
        <v>0.26879956693743057</v>
      </c>
      <c r="AR85" s="612">
        <f t="shared" si="252"/>
        <v>0.25166555494425774</v>
      </c>
      <c r="AS85" s="612">
        <f t="shared" si="252"/>
        <v>0.26909608685594688</v>
      </c>
      <c r="AU85" s="612">
        <v>0.2627660168705106</v>
      </c>
      <c r="AW85" s="613">
        <f t="shared" ref="AW85:CD85" si="253">+AW84/AW$11</f>
        <v>0.34495265865959607</v>
      </c>
      <c r="AX85" s="613">
        <f t="shared" si="253"/>
        <v>0.36615779717139341</v>
      </c>
      <c r="AY85" s="613">
        <f t="shared" si="253"/>
        <v>0.38879663160857963</v>
      </c>
      <c r="AZ85" s="613">
        <f t="shared" si="253"/>
        <v>0.37238461763818698</v>
      </c>
      <c r="BA85" s="613">
        <f t="shared" si="253"/>
        <v>0.37205435220966165</v>
      </c>
      <c r="BB85" s="613">
        <f t="shared" si="253"/>
        <v>0.35949028456688725</v>
      </c>
      <c r="BC85" s="613">
        <f t="shared" si="253"/>
        <v>0.33022948486649473</v>
      </c>
      <c r="BD85" s="613">
        <f t="shared" si="253"/>
        <v>0.30626738069254217</v>
      </c>
      <c r="BE85" s="613">
        <f t="shared" si="253"/>
        <v>0.30246934078584137</v>
      </c>
      <c r="BF85" s="613">
        <f t="shared" si="253"/>
        <v>0.33597741578668344</v>
      </c>
      <c r="BG85" s="613">
        <f t="shared" si="253"/>
        <v>0.31068266345155571</v>
      </c>
      <c r="BH85" s="613">
        <f t="shared" si="253"/>
        <v>0.30826927610246313</v>
      </c>
      <c r="BI85" s="613">
        <f t="shared" si="253"/>
        <v>0.31967908778353277</v>
      </c>
      <c r="BJ85" s="613">
        <f t="shared" si="253"/>
        <v>0.30808055070217538</v>
      </c>
      <c r="BK85" s="613">
        <f t="shared" si="253"/>
        <v>0.26658240681348916</v>
      </c>
      <c r="BL85" s="613">
        <f t="shared" si="253"/>
        <v>0.27770415040978708</v>
      </c>
      <c r="BM85" s="613">
        <f t="shared" si="253"/>
        <v>0.29399121543730272</v>
      </c>
      <c r="BN85" s="613">
        <f t="shared" si="253"/>
        <v>0.25719207775570924</v>
      </c>
      <c r="BO85" s="613">
        <f t="shared" si="253"/>
        <v>0.27332795259451947</v>
      </c>
      <c r="BP85" s="613">
        <f t="shared" si="253"/>
        <v>0.26974900235682286</v>
      </c>
      <c r="BQ85" s="613">
        <f t="shared" si="253"/>
        <v>0.19461273915843333</v>
      </c>
      <c r="BR85" s="613">
        <f t="shared" si="253"/>
        <v>0.19199766279967198</v>
      </c>
      <c r="BS85" s="613">
        <f t="shared" si="253"/>
        <v>0.2168754373038792</v>
      </c>
      <c r="BT85" s="613">
        <f t="shared" si="253"/>
        <v>0.26674434207986469</v>
      </c>
      <c r="BU85" s="613">
        <f t="shared" si="253"/>
        <v>0.2190062716601707</v>
      </c>
      <c r="BV85" s="613">
        <f t="shared" si="253"/>
        <v>0.2133610901336829</v>
      </c>
      <c r="BW85" s="613">
        <f t="shared" si="253"/>
        <v>0.26075841670034899</v>
      </c>
      <c r="BX85" s="613">
        <f t="shared" si="253"/>
        <v>0.27189274128189006</v>
      </c>
      <c r="BY85" s="613">
        <f>+BY84/BY$11</f>
        <v>0.25473761708919918</v>
      </c>
      <c r="BZ85" s="613">
        <f>+BZ84/BZ$11</f>
        <v>0.26289880383492847</v>
      </c>
      <c r="CA85" s="612">
        <f t="shared" si="253"/>
        <v>0.2569255453885444</v>
      </c>
      <c r="CB85" s="612">
        <f t="shared" si="253"/>
        <v>0.25225173976320431</v>
      </c>
      <c r="CC85" s="612">
        <f t="shared" si="253"/>
        <v>0.24753228059963958</v>
      </c>
      <c r="CD85" s="612">
        <f t="shared" si="253"/>
        <v>0.24276658169273266</v>
      </c>
    </row>
    <row r="86" spans="1:82" ht="17.25" customHeight="1">
      <c r="A86" s="423" t="s">
        <v>51</v>
      </c>
      <c r="B86" s="430"/>
      <c r="C86" s="431"/>
      <c r="D86" s="526"/>
      <c r="E86" s="526"/>
      <c r="F86" s="431">
        <f t="shared" ref="F86:Q86" si="254">F84/B84-1</f>
        <v>-7.9089025230966614E-2</v>
      </c>
      <c r="G86" s="431">
        <f t="shared" si="254"/>
        <v>-6.2751122916391511E-2</v>
      </c>
      <c r="H86" s="431">
        <f t="shared" si="254"/>
        <v>-0.21335575577921051</v>
      </c>
      <c r="I86" s="431">
        <f t="shared" si="254"/>
        <v>-7.3006057438934624E-2</v>
      </c>
      <c r="J86" s="431">
        <f t="shared" si="254"/>
        <v>7.6120358797472143E-2</v>
      </c>
      <c r="K86" s="431">
        <f t="shared" si="254"/>
        <v>9.9966230373947473E-2</v>
      </c>
      <c r="L86" s="431">
        <f t="shared" si="254"/>
        <v>6.3230923652204174E-2</v>
      </c>
      <c r="M86" s="431">
        <f t="shared" si="254"/>
        <v>-1.4418449130130573E-2</v>
      </c>
      <c r="N86" s="431">
        <f t="shared" si="254"/>
        <v>4.9865713638438169E-2</v>
      </c>
      <c r="O86" s="431">
        <f t="shared" si="254"/>
        <v>0.15129725457704102</v>
      </c>
      <c r="P86" s="431">
        <f t="shared" si="254"/>
        <v>0.28328639041109538</v>
      </c>
      <c r="Q86" s="431">
        <f t="shared" si="254"/>
        <v>0.37614232174733853</v>
      </c>
      <c r="R86" s="431">
        <f t="shared" ref="R86:AO86" si="255">R84/N84-1</f>
        <v>0.25655822360937042</v>
      </c>
      <c r="S86" s="431">
        <f t="shared" si="255"/>
        <v>0.18933677458046416</v>
      </c>
      <c r="T86" s="431">
        <f t="shared" si="255"/>
        <v>7.8304956012753335E-2</v>
      </c>
      <c r="U86" s="431">
        <f t="shared" si="255"/>
        <v>5.2491084471870231E-2</v>
      </c>
      <c r="V86" s="431">
        <f t="shared" si="255"/>
        <v>8.732310763119866E-3</v>
      </c>
      <c r="W86" s="431">
        <f t="shared" si="255"/>
        <v>-0.18403422155829718</v>
      </c>
      <c r="X86" s="431">
        <f t="shared" si="255"/>
        <v>-0.21452364223529696</v>
      </c>
      <c r="Y86" s="431">
        <f t="shared" si="255"/>
        <v>-0.32593167606674911</v>
      </c>
      <c r="Z86" s="431">
        <f t="shared" si="255"/>
        <v>-0.2246037182343118</v>
      </c>
      <c r="AA86" s="431">
        <f t="shared" si="255"/>
        <v>-1.5608297646469649E-2</v>
      </c>
      <c r="AB86" s="431">
        <f t="shared" si="255"/>
        <v>0.2332350974915407</v>
      </c>
      <c r="AC86" s="431">
        <f t="shared" si="255"/>
        <v>0.41797835092749347</v>
      </c>
      <c r="AD86" s="431">
        <f t="shared" si="255"/>
        <v>0.29869588009797154</v>
      </c>
      <c r="AE86" s="431">
        <f t="shared" si="255"/>
        <v>0.31243157075798544</v>
      </c>
      <c r="AF86" s="431">
        <f t="shared" si="255"/>
        <v>0.24442685039307221</v>
      </c>
      <c r="AG86" s="431">
        <f t="shared" si="255"/>
        <v>0.25225435360119342</v>
      </c>
      <c r="AH86" s="431">
        <f t="shared" si="255"/>
        <v>0.19267185129808206</v>
      </c>
      <c r="AI86" s="431">
        <f t="shared" si="255"/>
        <v>0.14844256934417954</v>
      </c>
      <c r="AJ86" s="431">
        <f t="shared" si="255"/>
        <v>1.0227407250603671E-2</v>
      </c>
      <c r="AK86" s="431">
        <f t="shared" si="255"/>
        <v>-5.5884819387399531E-2</v>
      </c>
      <c r="AL86" s="431">
        <f t="shared" si="255"/>
        <v>-0.1088006783303046</v>
      </c>
      <c r="AM86" s="431">
        <f t="shared" si="255"/>
        <v>-0.11520801191791663</v>
      </c>
      <c r="AN86" s="431">
        <f t="shared" si="255"/>
        <v>-3.2427999920686013E-2</v>
      </c>
      <c r="AO86" s="431">
        <f t="shared" si="255"/>
        <v>6.0182956599200033E-2</v>
      </c>
      <c r="AP86" s="432">
        <f t="shared" ref="AP86:AS86" si="256">AP84/AL84-1</f>
        <v>6.3058606367719428E-2</v>
      </c>
      <c r="AQ86" s="432">
        <f t="shared" si="256"/>
        <v>8.6209224910018145E-2</v>
      </c>
      <c r="AR86" s="432">
        <f t="shared" si="256"/>
        <v>3.1877714438226512E-2</v>
      </c>
      <c r="AS86" s="432">
        <f t="shared" si="256"/>
        <v>4.4232700609282638E-2</v>
      </c>
      <c r="AU86" s="432">
        <v>4.860192768963767E-2</v>
      </c>
      <c r="AX86" s="438">
        <f t="shared" ref="AX86:CD86" si="257">AX84/AW84-1</f>
        <v>0.26585212921541257</v>
      </c>
      <c r="AY86" s="438">
        <f t="shared" si="257"/>
        <v>0.19820959164476082</v>
      </c>
      <c r="AZ86" s="438">
        <f t="shared" si="257"/>
        <v>9.8549532837850951E-2</v>
      </c>
      <c r="BA86" s="438">
        <f t="shared" si="257"/>
        <v>-1.7998108820960534E-2</v>
      </c>
      <c r="BB86" s="438">
        <f t="shared" si="257"/>
        <v>-5.2110473309436856E-3</v>
      </c>
      <c r="BC86" s="438">
        <f t="shared" si="257"/>
        <v>-2.4089368636985964E-2</v>
      </c>
      <c r="BD86" s="438">
        <f t="shared" si="257"/>
        <v>7.3805821872929611E-2</v>
      </c>
      <c r="BE86" s="438">
        <f t="shared" si="257"/>
        <v>9.6550325210760679E-2</v>
      </c>
      <c r="BF86" s="438">
        <f t="shared" si="257"/>
        <v>1.4845505140604676E-2</v>
      </c>
      <c r="BG86" s="438">
        <f t="shared" si="257"/>
        <v>-1.1024567685878228E-2</v>
      </c>
      <c r="BH86" s="438">
        <f t="shared" si="257"/>
        <v>6.481421543241872E-2</v>
      </c>
      <c r="BI86" s="438">
        <f t="shared" si="257"/>
        <v>0.11127139647816797</v>
      </c>
      <c r="BJ86" s="438">
        <f t="shared" si="257"/>
        <v>2.2016444932801527E-2</v>
      </c>
      <c r="BK86" s="438">
        <f t="shared" si="257"/>
        <v>-0.11699880480328806</v>
      </c>
      <c r="BL86" s="438">
        <f t="shared" si="257"/>
        <v>0.14133256660496607</v>
      </c>
      <c r="BM86" s="438">
        <f t="shared" si="257"/>
        <v>7.270556248772797E-2</v>
      </c>
      <c r="BN86" s="438">
        <f t="shared" si="257"/>
        <v>-0.14199278870922616</v>
      </c>
      <c r="BO86" s="438">
        <f t="shared" si="257"/>
        <v>0.17590206426565058</v>
      </c>
      <c r="BP86" s="438">
        <f t="shared" si="257"/>
        <v>9.2749927750786165E-2</v>
      </c>
      <c r="BQ86" s="438">
        <f t="shared" si="257"/>
        <v>-0.23594483565329816</v>
      </c>
      <c r="BR86" s="438">
        <f t="shared" si="257"/>
        <v>7.1753152306395229E-2</v>
      </c>
      <c r="BS86" s="438">
        <f t="shared" si="257"/>
        <v>0.1976905856523663</v>
      </c>
      <c r="BT86" s="438">
        <f t="shared" si="257"/>
        <v>0.32047480449759691</v>
      </c>
      <c r="BU86" s="438">
        <f t="shared" si="257"/>
        <v>-0.17560666936753344</v>
      </c>
      <c r="BV86" s="438">
        <f t="shared" si="257"/>
        <v>6.0666760661465036E-2</v>
      </c>
      <c r="BW86" s="438">
        <f t="shared" si="257"/>
        <v>0.27605845669249707</v>
      </c>
      <c r="BX86" s="438">
        <f t="shared" si="257"/>
        <v>7.1564120765196471E-2</v>
      </c>
      <c r="BY86" s="438">
        <f>BY84/BX84-1</f>
        <v>-5.3035506873433502E-2</v>
      </c>
      <c r="BZ86" s="438">
        <f>BZ84/BY84-1</f>
        <v>5.6549419481449981E-2</v>
      </c>
      <c r="CA86" s="434">
        <f t="shared" si="257"/>
        <v>-3.1751667426274111E-3</v>
      </c>
      <c r="CB86" s="434">
        <f t="shared" si="257"/>
        <v>1.444890072579641E-3</v>
      </c>
      <c r="CC86" s="434">
        <f t="shared" si="257"/>
        <v>9.1649099683155377E-4</v>
      </c>
      <c r="CD86" s="434">
        <f t="shared" si="257"/>
        <v>3.6210520393775703E-4</v>
      </c>
    </row>
    <row r="87" spans="1:82" ht="17.25" customHeight="1">
      <c r="A87" s="423" t="s">
        <v>183</v>
      </c>
      <c r="B87" s="431"/>
      <c r="C87" s="431">
        <f t="shared" ref="C87:Q87" si="258">C84/B84-1</f>
        <v>-4.0076707670970269E-2</v>
      </c>
      <c r="D87" s="431">
        <f t="shared" si="258"/>
        <v>4.1566019772480978E-2</v>
      </c>
      <c r="E87" s="431">
        <f t="shared" si="258"/>
        <v>-4.7190868629769955E-2</v>
      </c>
      <c r="F87" s="431">
        <f t="shared" si="258"/>
        <v>-3.3307375320419275E-2</v>
      </c>
      <c r="G87" s="431">
        <f t="shared" si="258"/>
        <v>-2.3046686953180129E-2</v>
      </c>
      <c r="H87" s="431">
        <f t="shared" si="258"/>
        <v>-0.12580112447881997</v>
      </c>
      <c r="I87" s="431">
        <f t="shared" si="258"/>
        <v>0.12280525750490323</v>
      </c>
      <c r="J87" s="431">
        <f t="shared" si="258"/>
        <v>0.12220540648088707</v>
      </c>
      <c r="K87" s="431">
        <f t="shared" si="258"/>
        <v>-1.3982690520828456E-3</v>
      </c>
      <c r="L87" s="431">
        <f t="shared" si="258"/>
        <v>-0.15499653333892272</v>
      </c>
      <c r="M87" s="431">
        <f t="shared" si="258"/>
        <v>4.0805080438492958E-2</v>
      </c>
      <c r="N87" s="431">
        <f t="shared" si="258"/>
        <v>0.19540080563006423</v>
      </c>
      <c r="O87" s="431">
        <f t="shared" si="258"/>
        <v>9.5080462502042717E-2</v>
      </c>
      <c r="P87" s="431">
        <f t="shared" si="258"/>
        <v>-5.8122092877975318E-2</v>
      </c>
      <c r="Q87" s="431">
        <f t="shared" si="258"/>
        <v>0.11611556904474241</v>
      </c>
      <c r="R87" s="431">
        <f t="shared" ref="R87:AO87" si="259">R84/Q84-1</f>
        <v>9.1522794616522019E-2</v>
      </c>
      <c r="S87" s="431">
        <f t="shared" si="259"/>
        <v>3.6497506209588249E-2</v>
      </c>
      <c r="T87" s="431">
        <f t="shared" si="259"/>
        <v>-0.14605212172400817</v>
      </c>
      <c r="U87" s="431">
        <f t="shared" si="259"/>
        <v>8.9396537695173306E-2</v>
      </c>
      <c r="V87" s="431">
        <f t="shared" si="259"/>
        <v>4.6141223530307363E-2</v>
      </c>
      <c r="W87" s="431">
        <f t="shared" si="259"/>
        <v>-0.16157489406939729</v>
      </c>
      <c r="X87" s="431">
        <f t="shared" si="259"/>
        <v>-0.17796078356361533</v>
      </c>
      <c r="Y87" s="431">
        <f t="shared" si="259"/>
        <v>-6.5118012778117462E-2</v>
      </c>
      <c r="Z87" s="431">
        <f t="shared" si="259"/>
        <v>0.2034002876651031</v>
      </c>
      <c r="AA87" s="431">
        <f t="shared" si="259"/>
        <v>6.4408918035498974E-2</v>
      </c>
      <c r="AB87" s="431">
        <f t="shared" si="259"/>
        <v>2.9841688831824698E-2</v>
      </c>
      <c r="AC87" s="431">
        <f t="shared" si="259"/>
        <v>7.493082320566713E-2</v>
      </c>
      <c r="AD87" s="431">
        <f t="shared" si="259"/>
        <v>0.10216844613821441</v>
      </c>
      <c r="AE87" s="431">
        <f t="shared" si="259"/>
        <v>7.5666666564579321E-2</v>
      </c>
      <c r="AF87" s="431">
        <f t="shared" si="259"/>
        <v>-2.3520404575217202E-2</v>
      </c>
      <c r="AG87" s="431">
        <f t="shared" si="259"/>
        <v>8.1692188459473014E-2</v>
      </c>
      <c r="AH87" s="431">
        <f t="shared" si="259"/>
        <v>4.9727060095837938E-2</v>
      </c>
      <c r="AI87" s="431">
        <f t="shared" si="259"/>
        <v>3.5776428330048571E-2</v>
      </c>
      <c r="AJ87" s="431">
        <f t="shared" si="259"/>
        <v>-0.14103980795276461</v>
      </c>
      <c r="AK87" s="431">
        <f t="shared" si="259"/>
        <v>1.0903098198481453E-2</v>
      </c>
      <c r="AL87" s="431">
        <f t="shared" si="259"/>
        <v>-9.1081436814590688E-3</v>
      </c>
      <c r="AM87" s="431">
        <f t="shared" si="259"/>
        <v>2.8329648538899077E-2</v>
      </c>
      <c r="AN87" s="431">
        <f t="shared" si="259"/>
        <v>-6.0676585906706437E-2</v>
      </c>
      <c r="AO87" s="431">
        <f t="shared" si="259"/>
        <v>0.10766148193158176</v>
      </c>
      <c r="AP87" s="432">
        <f t="shared" ref="AP87:AS87" si="260">AP84/AO84-1</f>
        <v>-6.420439715352666E-3</v>
      </c>
      <c r="AQ87" s="432">
        <f t="shared" si="260"/>
        <v>5.0723961784151506E-2</v>
      </c>
      <c r="AR87" s="432">
        <f t="shared" si="260"/>
        <v>-0.10766095939463782</v>
      </c>
      <c r="AS87" s="432">
        <f t="shared" si="260"/>
        <v>0.12092385023355301</v>
      </c>
      <c r="AU87" s="432">
        <v>9.5561815959392504E-2</v>
      </c>
      <c r="AW87" s="438"/>
      <c r="AX87" s="438"/>
      <c r="AY87" s="438"/>
      <c r="AZ87" s="438"/>
      <c r="BA87" s="438"/>
      <c r="BB87" s="438"/>
      <c r="BC87" s="438"/>
      <c r="BD87" s="438"/>
      <c r="BE87" s="438"/>
      <c r="BF87" s="438"/>
      <c r="BG87" s="438"/>
      <c r="BH87" s="438"/>
      <c r="BI87" s="438"/>
      <c r="BJ87" s="438"/>
      <c r="BK87" s="438"/>
      <c r="BL87" s="438"/>
      <c r="BM87" s="438"/>
      <c r="BN87" s="438"/>
      <c r="BO87" s="438"/>
      <c r="BP87" s="438"/>
      <c r="BQ87" s="438"/>
      <c r="BR87" s="438"/>
      <c r="BS87" s="438"/>
      <c r="BT87" s="438"/>
      <c r="BU87" s="438"/>
      <c r="BV87" s="438"/>
      <c r="BW87" s="438"/>
      <c r="BX87" s="438"/>
      <c r="BY87" s="438"/>
      <c r="BZ87" s="438"/>
      <c r="CA87" s="432"/>
      <c r="CB87" s="432"/>
      <c r="CC87" s="432"/>
      <c r="CD87" s="432"/>
    </row>
    <row r="88" spans="1:82" ht="17.25" customHeight="1">
      <c r="B88" s="431"/>
      <c r="C88" s="431"/>
      <c r="D88" s="431"/>
      <c r="E88" s="431"/>
      <c r="F88" s="431"/>
      <c r="G88" s="431"/>
      <c r="H88" s="431"/>
      <c r="I88" s="431"/>
      <c r="J88" s="431"/>
      <c r="K88" s="431"/>
      <c r="L88" s="431"/>
      <c r="M88" s="431"/>
      <c r="O88" s="431"/>
      <c r="P88" s="431"/>
      <c r="Q88" s="431"/>
      <c r="R88" s="431">
        <f t="shared" ref="R88:AO88" si="261">+R85-N85</f>
        <v>4.2658387643290274E-2</v>
      </c>
      <c r="S88" s="431">
        <f t="shared" si="261"/>
        <v>2.183934266073112E-2</v>
      </c>
      <c r="T88" s="431">
        <f t="shared" si="261"/>
        <v>2.6806151517276278E-3</v>
      </c>
      <c r="U88" s="431">
        <f t="shared" si="261"/>
        <v>-4.9064660017796857E-3</v>
      </c>
      <c r="V88" s="431">
        <f t="shared" si="261"/>
        <v>-7.1434423690225346E-3</v>
      </c>
      <c r="W88" s="431">
        <f t="shared" si="261"/>
        <v>-3.8137319334307335E-2</v>
      </c>
      <c r="X88" s="431">
        <f>+X85-T85</f>
        <v>-5.9373793498277705E-2</v>
      </c>
      <c r="Y88" s="431">
        <f t="shared" si="261"/>
        <v>-8.9467311491642221E-2</v>
      </c>
      <c r="Z88" s="431">
        <f t="shared" si="261"/>
        <v>-6.7821448248965438E-2</v>
      </c>
      <c r="AA88" s="431">
        <f t="shared" si="261"/>
        <v>-2.4380327307229444E-2</v>
      </c>
      <c r="AB88" s="431">
        <f t="shared" si="261"/>
        <v>1.8404092657344828E-2</v>
      </c>
      <c r="AC88" s="431">
        <f t="shared" si="261"/>
        <v>5.3315256094007696E-2</v>
      </c>
      <c r="AD88" s="431">
        <f t="shared" si="261"/>
        <v>4.1038055217944014E-2</v>
      </c>
      <c r="AE88" s="431">
        <f t="shared" si="261"/>
        <v>4.8569560901027181E-2</v>
      </c>
      <c r="AF88" s="431">
        <f t="shared" si="261"/>
        <v>5.522135323805144E-2</v>
      </c>
      <c r="AG88" s="431">
        <f t="shared" si="261"/>
        <v>4.5853109315741075E-2</v>
      </c>
      <c r="AH88" s="431">
        <f t="shared" si="261"/>
        <v>4.1417407900641273E-2</v>
      </c>
      <c r="AI88" s="431">
        <f t="shared" si="261"/>
        <v>3.061712164092717E-2</v>
      </c>
      <c r="AJ88" s="431">
        <f t="shared" si="261"/>
        <v>-7.251439559850692E-3</v>
      </c>
      <c r="AK88" s="431">
        <f t="shared" si="261"/>
        <v>-2.3095939779545993E-2</v>
      </c>
      <c r="AL88" s="431">
        <f t="shared" si="261"/>
        <v>-3.1516080618081199E-2</v>
      </c>
      <c r="AM88" s="431">
        <f t="shared" si="261"/>
        <v>-3.306861705728642E-2</v>
      </c>
      <c r="AN88" s="431">
        <f t="shared" si="261"/>
        <v>-1.3393838658415536E-2</v>
      </c>
      <c r="AO88" s="431">
        <f t="shared" si="261"/>
        <v>9.7940588343424229E-3</v>
      </c>
      <c r="AP88" s="432">
        <f t="shared" ref="AP88:AS88" si="262">+AP85-AL85</f>
        <v>1.0591174021415795E-2</v>
      </c>
      <c r="AQ88" s="432">
        <f t="shared" si="262"/>
        <v>1.514718598504966E-2</v>
      </c>
      <c r="AR88" s="432">
        <f t="shared" si="262"/>
        <v>1.6774117675240063E-3</v>
      </c>
      <c r="AS88" s="432">
        <f t="shared" si="262"/>
        <v>4.9562175850365597E-3</v>
      </c>
      <c r="AU88" s="432">
        <v>8.4202064339427007E-3</v>
      </c>
      <c r="AW88" s="438"/>
      <c r="AX88" s="438"/>
      <c r="AY88" s="438"/>
      <c r="AZ88" s="438"/>
      <c r="BA88" s="438"/>
      <c r="BB88" s="438"/>
      <c r="BC88" s="438"/>
      <c r="BD88" s="438"/>
      <c r="BE88" s="438"/>
      <c r="BF88" s="438"/>
      <c r="BG88" s="438"/>
      <c r="BH88" s="438"/>
      <c r="BI88" s="438"/>
      <c r="BJ88" s="438"/>
      <c r="BK88" s="438"/>
      <c r="BL88" s="438"/>
      <c r="BM88" s="438"/>
      <c r="BN88" s="438"/>
      <c r="BO88" s="438"/>
      <c r="BP88" s="438"/>
      <c r="BQ88" s="438"/>
      <c r="BR88" s="438"/>
      <c r="BS88" s="438"/>
      <c r="BT88" s="438"/>
      <c r="BU88" s="438"/>
      <c r="BV88" s="438"/>
      <c r="BW88" s="438"/>
      <c r="BX88" s="438"/>
      <c r="BY88" s="438"/>
      <c r="BZ88" s="438"/>
      <c r="CA88" s="438"/>
      <c r="CB88" s="438"/>
      <c r="CC88" s="438"/>
      <c r="CD88" s="438"/>
    </row>
    <row r="89" spans="1:82" ht="17.25" customHeight="1">
      <c r="B89" s="431"/>
      <c r="C89" s="431"/>
      <c r="D89" s="431"/>
      <c r="E89" s="431"/>
      <c r="F89" s="431"/>
      <c r="G89" s="431"/>
      <c r="H89" s="431"/>
      <c r="I89" s="431"/>
      <c r="J89" s="431"/>
      <c r="K89" s="431"/>
      <c r="L89" s="431"/>
      <c r="M89" s="431"/>
      <c r="N89" s="431"/>
      <c r="O89" s="431"/>
      <c r="P89" s="431"/>
      <c r="Q89" s="431"/>
      <c r="R89" s="431"/>
      <c r="S89" s="431"/>
      <c r="T89" s="431"/>
      <c r="U89" s="431"/>
      <c r="V89" s="431"/>
      <c r="W89" s="431"/>
      <c r="X89" s="431"/>
      <c r="Y89" s="431"/>
      <c r="Z89" s="431"/>
      <c r="AA89" s="431"/>
      <c r="AB89" s="431"/>
      <c r="AC89" s="431"/>
      <c r="AD89" s="431"/>
      <c r="AE89" s="431"/>
      <c r="AF89" s="431"/>
      <c r="AG89" s="431"/>
      <c r="AH89" s="431"/>
      <c r="AI89" s="431"/>
      <c r="AJ89" s="431"/>
      <c r="AK89" s="431"/>
      <c r="AL89" s="431"/>
      <c r="AM89" s="438"/>
      <c r="AN89" s="438"/>
      <c r="AO89" s="438"/>
      <c r="AP89" s="438"/>
      <c r="AQ89" s="438"/>
      <c r="AR89" s="438"/>
      <c r="AS89" s="438"/>
      <c r="AU89" s="438"/>
      <c r="AW89" s="438"/>
      <c r="AX89" s="438"/>
      <c r="AY89" s="438"/>
      <c r="AZ89" s="438"/>
      <c r="BA89" s="438"/>
      <c r="BB89" s="438"/>
      <c r="BC89" s="438"/>
      <c r="BD89" s="438"/>
      <c r="BE89" s="438"/>
      <c r="BF89" s="438"/>
      <c r="BG89" s="438"/>
      <c r="BH89" s="438"/>
      <c r="BI89" s="438"/>
      <c r="BJ89" s="438"/>
      <c r="BK89" s="438"/>
      <c r="BL89" s="438"/>
      <c r="BM89" s="438"/>
      <c r="BN89" s="438"/>
      <c r="BO89" s="438"/>
      <c r="BP89" s="438"/>
      <c r="BQ89" s="438"/>
      <c r="BR89" s="438"/>
      <c r="BS89" s="438"/>
      <c r="BT89" s="438"/>
      <c r="BU89" s="438"/>
      <c r="BV89" s="438"/>
      <c r="BW89" s="438"/>
      <c r="BX89" s="438"/>
      <c r="BY89" s="438"/>
      <c r="BZ89" s="438"/>
      <c r="CA89" s="438"/>
      <c r="CB89" s="438"/>
      <c r="CC89" s="438"/>
      <c r="CD89" s="438"/>
    </row>
    <row r="90" spans="1:82" ht="17.25" customHeight="1">
      <c r="B90" s="431"/>
      <c r="C90" s="431"/>
      <c r="D90" s="431"/>
      <c r="E90" s="431"/>
      <c r="F90" s="431"/>
      <c r="G90" s="431"/>
      <c r="H90" s="431"/>
      <c r="I90" s="431"/>
      <c r="J90" s="431"/>
      <c r="K90" s="431"/>
      <c r="L90" s="431"/>
      <c r="M90" s="431"/>
      <c r="N90" s="431" t="s">
        <v>219</v>
      </c>
      <c r="O90" s="431"/>
      <c r="P90" s="431"/>
      <c r="Q90" s="431"/>
      <c r="R90" s="431"/>
      <c r="S90" s="431"/>
      <c r="T90" s="431"/>
      <c r="U90" s="431"/>
      <c r="V90" s="431"/>
      <c r="W90" s="431"/>
      <c r="X90" s="431"/>
      <c r="Y90" s="431"/>
      <c r="Z90" s="431"/>
      <c r="AA90" s="431"/>
      <c r="AB90" s="431"/>
      <c r="AC90" s="431"/>
      <c r="AD90" s="431"/>
      <c r="AE90" s="431"/>
      <c r="AF90" s="431"/>
      <c r="AG90" s="431"/>
      <c r="AH90" s="431"/>
      <c r="AI90" s="431"/>
      <c r="AJ90" s="431"/>
      <c r="AK90" s="431"/>
      <c r="AL90" s="431"/>
      <c r="AM90" s="438"/>
      <c r="AN90" s="438"/>
      <c r="AO90" s="438"/>
      <c r="AP90" s="438"/>
      <c r="AQ90" s="438"/>
      <c r="AR90" s="438"/>
      <c r="AS90" s="438"/>
      <c r="AU90" s="438"/>
      <c r="AW90" s="438"/>
      <c r="AX90" s="438"/>
      <c r="AY90" s="438"/>
      <c r="AZ90" s="438"/>
      <c r="BA90" s="438"/>
      <c r="BB90" s="438"/>
      <c r="BC90" s="438"/>
      <c r="BD90" s="438"/>
      <c r="BE90" s="438"/>
      <c r="BF90" s="438"/>
      <c r="BG90" s="438"/>
      <c r="BH90" s="438"/>
      <c r="BI90" s="438"/>
      <c r="BJ90" s="438"/>
      <c r="BK90" s="438"/>
      <c r="BL90" s="438"/>
      <c r="BM90" s="438"/>
      <c r="BN90" s="438"/>
      <c r="BO90" s="438"/>
      <c r="BP90" s="438"/>
      <c r="BQ90" s="438"/>
      <c r="BR90" s="438"/>
      <c r="BS90" s="438"/>
      <c r="BT90" s="438"/>
      <c r="BU90" s="438"/>
      <c r="BV90" s="438"/>
      <c r="BW90" s="438"/>
      <c r="BX90" s="438"/>
      <c r="BY90" s="438"/>
      <c r="BZ90" s="438"/>
      <c r="CA90" s="438"/>
      <c r="CB90" s="438"/>
      <c r="CC90" s="438"/>
      <c r="CD90" s="438"/>
    </row>
    <row r="91" spans="1:82" ht="17.25" customHeight="1">
      <c r="B91" s="431"/>
      <c r="C91" s="431"/>
      <c r="D91" s="431"/>
      <c r="E91" s="431"/>
      <c r="F91" s="431"/>
      <c r="G91" s="431"/>
      <c r="H91" s="431"/>
      <c r="I91" s="431"/>
      <c r="J91" s="431"/>
      <c r="K91" s="431"/>
      <c r="L91" s="431"/>
      <c r="M91" s="431"/>
      <c r="O91" s="431"/>
      <c r="P91" s="431"/>
      <c r="Q91" s="431"/>
      <c r="R91" s="431"/>
      <c r="S91" s="431"/>
      <c r="T91" s="431"/>
      <c r="U91" s="431"/>
      <c r="V91" s="431"/>
      <c r="W91" s="431"/>
      <c r="X91" s="431"/>
      <c r="Y91" s="431"/>
      <c r="Z91" s="431"/>
      <c r="AA91" s="431"/>
      <c r="AB91" s="431"/>
      <c r="AC91" s="431"/>
      <c r="AD91" s="431"/>
      <c r="AE91" s="431"/>
      <c r="AF91" s="431"/>
      <c r="AG91" s="431"/>
      <c r="AH91" s="431"/>
      <c r="AI91" s="431"/>
      <c r="AJ91" s="431"/>
      <c r="AK91" s="431"/>
      <c r="AL91" s="431"/>
      <c r="AM91" s="438"/>
      <c r="AN91" s="438"/>
      <c r="AO91" s="438"/>
      <c r="AP91" s="438"/>
      <c r="AQ91" s="438"/>
      <c r="AR91" s="438"/>
      <c r="AS91" s="438"/>
      <c r="AU91" s="438"/>
      <c r="AW91" s="438"/>
      <c r="AX91" s="438"/>
      <c r="AY91" s="438"/>
      <c r="AZ91" s="438"/>
      <c r="BA91" s="438"/>
      <c r="BB91" s="438"/>
      <c r="BC91" s="438"/>
      <c r="BD91" s="438"/>
      <c r="BE91" s="438"/>
      <c r="BF91" s="438"/>
      <c r="BG91" s="438"/>
      <c r="BH91" s="438"/>
      <c r="BI91" s="438"/>
      <c r="BJ91" s="438"/>
      <c r="BK91" s="438"/>
      <c r="BL91" s="438"/>
      <c r="BM91" s="438"/>
      <c r="BN91" s="438"/>
      <c r="BO91" s="438"/>
      <c r="BP91" s="438"/>
      <c r="BQ91" s="438"/>
      <c r="BR91" s="438"/>
      <c r="BS91" s="438"/>
      <c r="BT91" s="438"/>
      <c r="BU91" s="438"/>
      <c r="BV91" s="438"/>
      <c r="BW91" s="438"/>
      <c r="BX91" s="438"/>
      <c r="BY91" s="438"/>
      <c r="BZ91" s="438"/>
      <c r="CA91" s="438"/>
      <c r="CB91" s="438"/>
      <c r="CC91" s="438"/>
      <c r="CD91" s="438"/>
    </row>
    <row r="93" spans="1:82" ht="17.25" customHeight="1">
      <c r="B93" s="431"/>
      <c r="C93" s="431"/>
      <c r="D93" s="431"/>
      <c r="E93" s="431"/>
      <c r="F93" s="431"/>
      <c r="G93" s="431"/>
      <c r="H93" s="431"/>
      <c r="I93" s="431"/>
      <c r="J93" s="431"/>
      <c r="K93" s="431"/>
      <c r="L93" s="431"/>
      <c r="M93" s="431"/>
      <c r="N93" s="431"/>
      <c r="O93" s="431"/>
      <c r="P93" s="431"/>
      <c r="Q93" s="431"/>
      <c r="R93" s="431"/>
      <c r="V93" s="431"/>
      <c r="W93" s="431"/>
      <c r="X93" s="431"/>
      <c r="Y93" s="431"/>
      <c r="Z93" s="431"/>
      <c r="AA93" s="431"/>
      <c r="AB93" s="431"/>
      <c r="AC93" s="431"/>
      <c r="AD93" s="431"/>
      <c r="AE93" s="431"/>
      <c r="AF93" s="532"/>
      <c r="AG93" s="532"/>
      <c r="AH93" s="532"/>
      <c r="AI93" s="532"/>
      <c r="AJ93" s="532"/>
      <c r="AK93" s="532"/>
      <c r="AL93" s="532"/>
      <c r="AM93" s="533"/>
      <c r="AN93" s="533"/>
      <c r="AO93" s="533"/>
      <c r="AP93" s="533"/>
      <c r="AQ93" s="533"/>
      <c r="AR93" s="533"/>
      <c r="AS93" s="533"/>
      <c r="AU93" s="533"/>
      <c r="AW93" s="438"/>
      <c r="AX93" s="438"/>
      <c r="AY93" s="438"/>
      <c r="AZ93" s="438"/>
      <c r="BA93" s="438"/>
      <c r="BB93" s="438"/>
      <c r="BC93" s="438"/>
      <c r="BD93" s="438"/>
      <c r="BE93" s="438"/>
      <c r="BF93" s="438"/>
      <c r="BG93" s="438"/>
      <c r="BH93" s="438"/>
      <c r="BI93" s="438"/>
      <c r="BJ93" s="438"/>
      <c r="BK93" s="438"/>
      <c r="BL93" s="438"/>
      <c r="BM93" s="438"/>
      <c r="BN93" s="438"/>
      <c r="BO93" s="438"/>
      <c r="BP93" s="438"/>
      <c r="BQ93" s="438"/>
      <c r="BR93" s="438"/>
      <c r="BS93" s="438"/>
      <c r="BT93" s="438"/>
      <c r="BU93" s="438"/>
      <c r="BV93" s="438"/>
      <c r="BW93" s="438"/>
      <c r="BX93" s="438"/>
      <c r="BY93" s="438"/>
      <c r="BZ93" s="438"/>
      <c r="CA93" s="438"/>
      <c r="CB93" s="438"/>
      <c r="CC93" s="438"/>
      <c r="CD93" s="438"/>
    </row>
    <row r="94" spans="1:82" ht="17.25" customHeight="1">
      <c r="A94" s="456" t="s">
        <v>220</v>
      </c>
      <c r="B94" s="431"/>
      <c r="C94" s="431"/>
      <c r="D94" s="431"/>
      <c r="E94" s="431"/>
      <c r="F94" s="431"/>
      <c r="G94" s="436">
        <v>0.87</v>
      </c>
      <c r="H94" s="436">
        <v>0.86</v>
      </c>
      <c r="I94" s="431"/>
      <c r="J94" s="431"/>
      <c r="K94" s="431"/>
      <c r="L94" s="431"/>
      <c r="M94" s="431"/>
      <c r="N94" s="431"/>
      <c r="O94" s="431"/>
      <c r="P94" s="431"/>
      <c r="Q94" s="431"/>
      <c r="R94" s="431"/>
      <c r="V94" s="431"/>
      <c r="W94" s="431"/>
      <c r="X94" s="431"/>
      <c r="Y94" s="431"/>
      <c r="Z94" s="431"/>
      <c r="AA94" s="431"/>
      <c r="AB94" s="431"/>
      <c r="AC94" s="431"/>
      <c r="AD94" s="431"/>
      <c r="AE94" s="431"/>
      <c r="AF94" s="533"/>
      <c r="AG94" s="532"/>
      <c r="AH94" s="534"/>
      <c r="AI94" s="534"/>
      <c r="AJ94" s="534"/>
      <c r="AK94" s="534"/>
      <c r="AL94" s="534"/>
      <c r="AM94" s="535"/>
      <c r="AN94" s="535"/>
      <c r="AO94" s="535"/>
      <c r="AP94" s="535"/>
      <c r="AQ94" s="535"/>
      <c r="AR94" s="535"/>
      <c r="AS94" s="535"/>
      <c r="AU94" s="535"/>
      <c r="AW94" s="438"/>
      <c r="AX94" s="438"/>
      <c r="AY94" s="438"/>
      <c r="AZ94" s="438"/>
      <c r="BA94" s="438"/>
      <c r="BB94" s="438"/>
      <c r="BC94" s="438"/>
      <c r="BD94" s="438"/>
      <c r="BE94" s="438"/>
      <c r="BF94" s="438"/>
      <c r="BG94" s="438"/>
      <c r="BH94" s="438"/>
      <c r="BI94" s="438"/>
      <c r="BJ94" s="438"/>
      <c r="BK94" s="438"/>
      <c r="BL94" s="438"/>
      <c r="BM94" s="438"/>
      <c r="BN94" s="438"/>
      <c r="BO94" s="438"/>
      <c r="BP94" s="438"/>
      <c r="BQ94" s="438"/>
      <c r="BR94" s="438"/>
      <c r="BS94" s="438"/>
      <c r="BT94" s="438"/>
      <c r="BU94" s="438"/>
      <c r="BV94" s="438"/>
      <c r="BW94" s="438"/>
      <c r="BX94" s="438"/>
      <c r="BY94" s="438"/>
      <c r="BZ94" s="438"/>
      <c r="CA94" s="438"/>
      <c r="CB94" s="438"/>
      <c r="CC94" s="438"/>
      <c r="CD94" s="438"/>
    </row>
    <row r="95" spans="1:82" ht="17.25" customHeight="1">
      <c r="A95" s="456" t="s">
        <v>221</v>
      </c>
      <c r="B95" s="431"/>
      <c r="C95" s="431"/>
      <c r="D95" s="431"/>
      <c r="E95" s="431"/>
      <c r="F95" s="431"/>
      <c r="G95" s="436">
        <v>0.09</v>
      </c>
      <c r="H95" s="436">
        <v>0.1</v>
      </c>
      <c r="I95" s="431"/>
      <c r="J95" s="431"/>
      <c r="K95" s="431"/>
      <c r="L95" s="431"/>
      <c r="M95" s="431"/>
      <c r="N95" s="431"/>
      <c r="O95" s="431"/>
      <c r="P95" s="431"/>
      <c r="Q95" s="431"/>
      <c r="R95" s="431"/>
      <c r="V95" s="431"/>
      <c r="W95" s="431"/>
      <c r="X95" s="431"/>
      <c r="Y95" s="431"/>
      <c r="Z95" s="431"/>
      <c r="AA95" s="431"/>
      <c r="AB95" s="431"/>
      <c r="AC95" s="431"/>
      <c r="AD95" s="431"/>
      <c r="AE95" s="431"/>
      <c r="AF95" s="533"/>
      <c r="AG95" s="532"/>
      <c r="AH95" s="535"/>
      <c r="AI95" s="535"/>
      <c r="AJ95" s="535"/>
      <c r="AK95" s="535"/>
      <c r="AL95" s="535"/>
      <c r="AM95" s="535"/>
      <c r="AN95" s="535"/>
      <c r="AO95" s="535"/>
      <c r="AP95" s="535"/>
      <c r="AQ95" s="535"/>
      <c r="AR95" s="535"/>
      <c r="AS95" s="535"/>
      <c r="AU95" s="535"/>
      <c r="AW95" s="438"/>
      <c r="AX95" s="438"/>
      <c r="AY95" s="438"/>
      <c r="AZ95" s="438"/>
      <c r="BA95" s="438"/>
      <c r="BB95" s="438"/>
      <c r="BC95" s="438"/>
      <c r="BD95" s="438"/>
      <c r="BE95" s="438"/>
      <c r="BF95" s="438"/>
      <c r="BG95" s="438"/>
      <c r="BH95" s="438"/>
      <c r="BI95" s="438"/>
      <c r="BJ95" s="438"/>
      <c r="BK95" s="438"/>
      <c r="BL95" s="438"/>
      <c r="BM95" s="438"/>
      <c r="BN95" s="438"/>
      <c r="BO95" s="438"/>
      <c r="BP95" s="438"/>
      <c r="BQ95" s="438"/>
      <c r="BR95" s="438"/>
      <c r="BS95" s="438"/>
      <c r="BT95" s="438"/>
      <c r="BU95" s="438"/>
      <c r="BV95" s="438"/>
      <c r="BW95" s="438"/>
      <c r="BX95" s="438"/>
      <c r="BY95" s="438"/>
      <c r="BZ95" s="438"/>
      <c r="CA95" s="438"/>
      <c r="CB95" s="438"/>
      <c r="CC95" s="438"/>
      <c r="CD95" s="438"/>
    </row>
    <row r="96" spans="1:82" ht="17.25" customHeight="1">
      <c r="A96" s="456" t="s">
        <v>222</v>
      </c>
      <c r="B96" s="431"/>
      <c r="C96" s="431"/>
      <c r="D96" s="431"/>
      <c r="E96" s="431"/>
      <c r="F96" s="431"/>
      <c r="G96" s="436">
        <v>0.04</v>
      </c>
      <c r="H96" s="436">
        <f>+H97-SUM(H94:H95)</f>
        <v>4.0000000000000036E-2</v>
      </c>
      <c r="I96" s="431"/>
      <c r="J96" s="431"/>
      <c r="K96" s="431"/>
      <c r="L96" s="431"/>
      <c r="M96" s="431"/>
      <c r="N96" s="431"/>
      <c r="O96" s="431"/>
      <c r="P96" s="431"/>
      <c r="Q96" s="431"/>
      <c r="R96" s="431"/>
      <c r="V96" s="431"/>
      <c r="W96" s="431"/>
      <c r="X96" s="431"/>
      <c r="Y96" s="431"/>
      <c r="Z96" s="431"/>
      <c r="AA96" s="431"/>
      <c r="AB96" s="431"/>
      <c r="AC96" s="431"/>
      <c r="AD96" s="431"/>
      <c r="AE96" s="431"/>
      <c r="AF96" s="532"/>
      <c r="AG96" s="532"/>
      <c r="AH96" s="532"/>
      <c r="AI96" s="532"/>
      <c r="AJ96" s="532"/>
      <c r="AK96" s="532"/>
      <c r="AL96" s="532"/>
      <c r="AM96" s="536"/>
      <c r="AN96" s="536"/>
      <c r="AO96" s="536"/>
      <c r="AP96" s="536"/>
      <c r="AQ96" s="536"/>
      <c r="AR96" s="536"/>
      <c r="AS96" s="536"/>
      <c r="AU96" s="536"/>
      <c r="AW96" s="438"/>
      <c r="AX96" s="438"/>
      <c r="AY96" s="438"/>
      <c r="AZ96" s="438"/>
      <c r="BA96" s="438"/>
      <c r="BB96" s="438"/>
      <c r="BC96" s="438"/>
      <c r="BD96" s="438"/>
      <c r="BE96" s="438"/>
      <c r="BF96" s="438"/>
      <c r="BG96" s="438"/>
      <c r="BH96" s="438"/>
      <c r="BI96" s="438"/>
      <c r="BJ96" s="438"/>
      <c r="BK96" s="438"/>
      <c r="BL96" s="438"/>
      <c r="BM96" s="438"/>
      <c r="BN96" s="438"/>
      <c r="BO96" s="438"/>
      <c r="BP96" s="438"/>
      <c r="BQ96" s="438"/>
      <c r="BR96" s="438"/>
      <c r="BS96" s="438"/>
      <c r="BT96" s="438"/>
      <c r="BU96" s="438"/>
      <c r="BV96" s="438"/>
      <c r="BW96" s="438"/>
      <c r="BX96" s="438"/>
      <c r="BY96" s="438"/>
      <c r="BZ96" s="438"/>
      <c r="CA96" s="438"/>
      <c r="CB96" s="438"/>
      <c r="CC96" s="438"/>
      <c r="CD96" s="438"/>
    </row>
    <row r="97" spans="1:74" ht="17.25" customHeight="1">
      <c r="A97" s="537" t="s">
        <v>223</v>
      </c>
      <c r="G97" s="454">
        <f>+SUM(G94:G96)</f>
        <v>1</v>
      </c>
      <c r="H97" s="436">
        <v>1</v>
      </c>
      <c r="AF97" s="533"/>
      <c r="AG97" s="533"/>
      <c r="AH97" s="533"/>
      <c r="AI97" s="533"/>
      <c r="AJ97" s="533"/>
      <c r="AK97" s="533"/>
      <c r="AL97" s="533"/>
      <c r="AM97" s="533"/>
      <c r="AN97" s="533"/>
      <c r="AO97" s="533"/>
      <c r="AP97" s="533"/>
      <c r="AQ97" s="533"/>
      <c r="AR97" s="533"/>
      <c r="AS97" s="533"/>
      <c r="AU97" s="533"/>
      <c r="AW97" s="438"/>
      <c r="AX97" s="438"/>
      <c r="AY97" s="438"/>
      <c r="AZ97" s="438"/>
      <c r="BA97" s="438"/>
      <c r="BB97" s="438"/>
      <c r="BC97" s="438"/>
      <c r="BD97" s="438"/>
      <c r="BE97" s="438"/>
      <c r="BF97" s="438"/>
      <c r="BG97" s="438"/>
      <c r="BH97" s="438"/>
      <c r="BI97" s="438"/>
      <c r="BJ97" s="438"/>
      <c r="BK97" s="438"/>
      <c r="BL97" s="438"/>
      <c r="BM97" s="438"/>
      <c r="BN97" s="438"/>
      <c r="BO97" s="438"/>
      <c r="BP97" s="438"/>
      <c r="BQ97" s="438"/>
      <c r="BR97" s="438"/>
    </row>
    <row r="98" spans="1:74" ht="17.25" customHeight="1" thickBot="1">
      <c r="N98" s="452"/>
      <c r="AF98" s="533"/>
      <c r="AG98" s="533"/>
      <c r="AH98" s="533"/>
      <c r="AI98" s="533"/>
      <c r="AJ98" s="533"/>
      <c r="AK98" s="533"/>
      <c r="AL98" s="533"/>
      <c r="AM98" s="533"/>
      <c r="AN98" s="533"/>
      <c r="AO98" s="533"/>
      <c r="AP98" s="533"/>
      <c r="AQ98" s="533"/>
      <c r="AR98" s="533"/>
      <c r="AS98" s="533"/>
      <c r="AU98" s="533"/>
      <c r="BP98" s="423" t="s">
        <v>224</v>
      </c>
      <c r="BR98" s="423">
        <f>+BR99*0.4</f>
        <v>9.6000000000000002E-2</v>
      </c>
      <c r="BU98" s="422">
        <f>+BU1</f>
        <v>44561</v>
      </c>
      <c r="BV98" s="422">
        <f>+BV1</f>
        <v>44926</v>
      </c>
    </row>
    <row r="99" spans="1:74" ht="17.25" customHeight="1">
      <c r="AF99" s="533"/>
      <c r="AG99" s="533"/>
      <c r="AH99" s="533"/>
      <c r="AI99" s="533"/>
      <c r="AJ99" s="533"/>
      <c r="AK99" s="533"/>
      <c r="AL99" s="533"/>
      <c r="AM99" s="533"/>
      <c r="AN99" s="533"/>
      <c r="AO99" s="533"/>
      <c r="AP99" s="533"/>
      <c r="AQ99" s="533"/>
      <c r="AR99" s="533"/>
      <c r="AS99" s="533"/>
      <c r="AU99" s="533"/>
      <c r="BP99" s="423" t="s">
        <v>225</v>
      </c>
      <c r="BR99" s="437">
        <v>0.24</v>
      </c>
      <c r="BS99" s="538" t="s">
        <v>226</v>
      </c>
      <c r="BU99" s="437">
        <v>0.3</v>
      </c>
      <c r="BV99" s="437">
        <v>0.3</v>
      </c>
    </row>
    <row r="100" spans="1:74" ht="17.25" customHeight="1">
      <c r="AP100" s="423" t="e" cm="1" vm="2">
        <f t="array" aca="1" ref="AP100" ca="1">LINEST(K25:AP25,K57:AP57)</f>
        <v>#VALUE!</v>
      </c>
      <c r="AQ100" s="423" t="e" cm="1" vm="2">
        <f t="array" aca="1" ref="AQ100" ca="1">LINEST(L25:AQ25,L57:AQ57)</f>
        <v>#VALUE!</v>
      </c>
      <c r="AR100" s="423" t="e" cm="1" vm="2">
        <f t="array" aca="1" ref="AR100" ca="1">LINEST(M25:AR25,M57:AR57)</f>
        <v>#VALUE!</v>
      </c>
      <c r="AS100" s="423" cm="1">
        <f t="array" ref="AS100:AT100">LINEST(N25:AS25,N57:AS57)</f>
        <v>3.3634160038544407E-2</v>
      </c>
      <c r="AT100" s="423">
        <v>6.1690406174331937E-3</v>
      </c>
      <c r="AU100" s="423" t="e" vm="2">
        <v>#VALUE!</v>
      </c>
      <c r="BP100" s="423" t="s">
        <v>227</v>
      </c>
      <c r="BR100" s="437">
        <v>0.1</v>
      </c>
      <c r="BU100" s="437"/>
      <c r="BV100" s="437"/>
    </row>
    <row r="101" spans="1:74" ht="17.25" customHeight="1">
      <c r="S101" s="431"/>
      <c r="T101" s="431"/>
      <c r="U101" s="431"/>
      <c r="AM101" s="438"/>
      <c r="AN101" s="438"/>
      <c r="AO101" s="438"/>
      <c r="AP101" s="438"/>
      <c r="AQ101" s="438"/>
      <c r="AR101" s="438"/>
      <c r="AS101" s="438"/>
      <c r="AU101" s="438"/>
      <c r="BP101" s="423" t="s">
        <v>228</v>
      </c>
      <c r="BR101" s="437">
        <v>0.3</v>
      </c>
      <c r="BS101" s="423" t="s">
        <v>229</v>
      </c>
      <c r="BU101" s="437">
        <f>30%+0.1</f>
        <v>0.4</v>
      </c>
      <c r="BV101" s="437">
        <f>30%+0.1</f>
        <v>0.4</v>
      </c>
    </row>
    <row r="102" spans="1:74" ht="17.25" customHeight="1">
      <c r="S102" s="431"/>
      <c r="T102" s="431"/>
      <c r="U102" s="431"/>
      <c r="AM102" s="438"/>
      <c r="AN102" s="438"/>
      <c r="AO102" s="438"/>
      <c r="AP102" s="438"/>
      <c r="AQ102" s="438"/>
      <c r="AR102" s="438"/>
      <c r="AS102" s="438"/>
      <c r="AU102" s="438"/>
      <c r="BP102" s="423" t="s">
        <v>230</v>
      </c>
      <c r="BR102" s="437">
        <v>0.09</v>
      </c>
      <c r="BU102" s="437"/>
      <c r="BV102" s="437"/>
    </row>
    <row r="103" spans="1:74" ht="17.25" customHeight="1">
      <c r="S103" s="431"/>
      <c r="T103" s="431"/>
      <c r="U103" s="431"/>
      <c r="AM103" s="438"/>
      <c r="AN103" s="438"/>
      <c r="AO103" s="438"/>
      <c r="AP103" s="438"/>
      <c r="AQ103" s="438"/>
      <c r="AR103" s="438"/>
      <c r="AS103" s="438"/>
      <c r="AU103" s="438"/>
      <c r="BP103" s="423" t="s">
        <v>231</v>
      </c>
      <c r="BR103" s="437">
        <v>0.04</v>
      </c>
      <c r="BU103" s="437"/>
      <c r="BV103" s="437"/>
    </row>
    <row r="104" spans="1:74" ht="17.25" customHeight="1">
      <c r="S104" s="431"/>
      <c r="T104" s="431"/>
      <c r="U104" s="431"/>
      <c r="AM104" s="438"/>
      <c r="AN104" s="438"/>
      <c r="AO104" s="438"/>
      <c r="AP104" s="438"/>
      <c r="AQ104" s="438"/>
      <c r="AR104" s="438"/>
      <c r="AS104" s="438"/>
      <c r="AU104" s="438"/>
      <c r="BP104" s="423" t="s">
        <v>232</v>
      </c>
      <c r="BR104" s="437">
        <v>0.09</v>
      </c>
      <c r="BU104" s="437">
        <v>0.1</v>
      </c>
      <c r="BV104" s="437">
        <v>0.1</v>
      </c>
    </row>
    <row r="105" spans="1:74" ht="17.25" customHeight="1">
      <c r="BP105" s="423" t="s">
        <v>233</v>
      </c>
      <c r="BR105" s="437">
        <v>0.08</v>
      </c>
      <c r="BU105" s="437">
        <v>0.12</v>
      </c>
      <c r="BV105" s="437">
        <v>0.12</v>
      </c>
    </row>
    <row r="106" spans="1:74" ht="17.25" customHeight="1">
      <c r="BP106" s="423" t="s">
        <v>234</v>
      </c>
      <c r="BR106" s="437">
        <v>0.06</v>
      </c>
    </row>
    <row r="107" spans="1:74" ht="17.25" customHeight="1">
      <c r="BP107" s="479" t="s">
        <v>235</v>
      </c>
      <c r="BQ107" s="479"/>
      <c r="BR107" s="516">
        <f>+SUM(BR99:BR106)</f>
        <v>0.99999999999999978</v>
      </c>
      <c r="BU107" s="516">
        <f>+SUM(BU99:BU105)</f>
        <v>0.91999999999999993</v>
      </c>
      <c r="BV107" s="516">
        <f>+SUM(BV99:BV105)</f>
        <v>0.91999999999999993</v>
      </c>
    </row>
    <row r="109" spans="1:74" ht="17.25" customHeight="1">
      <c r="BP109" s="423" t="s">
        <v>236</v>
      </c>
      <c r="BR109" s="452">
        <f>+BR99+BR101+BR102</f>
        <v>0.63</v>
      </c>
    </row>
    <row r="110" spans="1:74" ht="17.25" customHeight="1">
      <c r="BP110" s="423" t="s">
        <v>237</v>
      </c>
      <c r="BR110" s="452">
        <f>+BR100+BR103+BR104+BR105</f>
        <v>0.31</v>
      </c>
    </row>
    <row r="112" spans="1:74" ht="17.25" customHeight="1">
      <c r="BP112" s="423" t="s">
        <v>238</v>
      </c>
      <c r="BR112" s="452">
        <f>+BR109+BR104</f>
        <v>0.72</v>
      </c>
    </row>
    <row r="114" spans="68:71" ht="17.25" customHeight="1">
      <c r="BP114" s="423" t="s">
        <v>239</v>
      </c>
      <c r="BR114" s="452">
        <f>+BR99+BR100</f>
        <v>0.33999999999999997</v>
      </c>
    </row>
    <row r="115" spans="68:71" ht="17.25" customHeight="1">
      <c r="BP115" s="423" t="s">
        <v>240</v>
      </c>
      <c r="BR115" s="452">
        <f>+BR101+BR104</f>
        <v>0.39</v>
      </c>
    </row>
    <row r="116" spans="68:71" ht="17.25" customHeight="1">
      <c r="BP116" s="423" t="s">
        <v>241</v>
      </c>
      <c r="BR116" s="437">
        <f>+BR107-BR115-BR114</f>
        <v>0.2699999999999998</v>
      </c>
      <c r="BS116" s="452"/>
    </row>
    <row r="117" spans="68:71" ht="17.25" customHeight="1">
      <c r="BR117" s="452">
        <f>+SUM(BR114:BR116)</f>
        <v>0.99999999999999978</v>
      </c>
    </row>
  </sheetData>
  <dataConsolidate/>
  <pageMargins left="0.7" right="0.7" top="0.75" bottom="0.75" header="0.3" footer="0.3"/>
  <pageSetup paperSize="9" orientation="portrait" r:id="rId1"/>
  <ignoredErrors>
    <ignoredError sqref="A61:AH61 C56:AF56 AV61:BO61 AV56:BW56 BQ61:BW61 CA56:XFD56 CA61:XFD61 AT56 AT61"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6959-01F1-4E8D-9FBA-CDA207D096BB}">
  <dimension ref="V57"/>
  <sheetViews>
    <sheetView workbookViewId="0"/>
  </sheetViews>
  <sheetFormatPr defaultRowHeight="15"/>
  <sheetData>
    <row r="57" spans="22:22">
      <c r="V57" t="s">
        <v>242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AE27-DE5E-499B-BD90-15068BE70254}">
  <dimension ref="A1:BB6408"/>
  <sheetViews>
    <sheetView topLeftCell="A7" workbookViewId="0">
      <pane xSplit="2" ySplit="2" topLeftCell="C107" activePane="bottomRight" state="frozen"/>
      <selection activeCell="A7" sqref="A7"/>
      <selection pane="topRight" activeCell="C7" sqref="C7"/>
      <selection pane="bottomLeft" activeCell="A9" sqref="A9"/>
      <selection pane="bottomRight" activeCell="L125" sqref="L125"/>
    </sheetView>
  </sheetViews>
  <sheetFormatPr defaultRowHeight="15"/>
  <cols>
    <col min="1" max="2" width="9.28515625" bestFit="1" customWidth="1"/>
    <col min="3" max="5" width="15.42578125" bestFit="1" customWidth="1"/>
    <col min="6" max="6" width="10.42578125" bestFit="1" customWidth="1"/>
    <col min="7" max="7" width="8" bestFit="1" customWidth="1"/>
    <col min="8" max="8" width="15.42578125" bestFit="1" customWidth="1"/>
    <col min="9" max="9" width="10.5703125" bestFit="1" customWidth="1"/>
    <col min="10" max="10" width="15" bestFit="1" customWidth="1"/>
    <col min="11" max="11" width="6" bestFit="1" customWidth="1"/>
    <col min="14" max="14" width="10.140625" customWidth="1"/>
    <col min="17" max="40" width="10.42578125" customWidth="1"/>
    <col min="42" max="42" width="9.85546875" bestFit="1" customWidth="1"/>
    <col min="45" max="45" width="9" customWidth="1"/>
  </cols>
  <sheetData>
    <row r="1" spans="1:40">
      <c r="A1" s="88"/>
      <c r="B1" s="88"/>
      <c r="C1" s="89"/>
      <c r="D1" s="89"/>
      <c r="E1" s="89"/>
      <c r="F1" s="89"/>
      <c r="G1" s="137"/>
      <c r="H1" s="89"/>
      <c r="I1" s="89"/>
      <c r="J1" s="89"/>
      <c r="K1" s="89"/>
      <c r="L1" s="89"/>
      <c r="M1" s="89"/>
    </row>
    <row r="2" spans="1:40">
      <c r="A2" s="88"/>
      <c r="B2" s="88"/>
      <c r="C2" s="150"/>
      <c r="D2" s="150"/>
      <c r="E2" s="150"/>
      <c r="F2" s="88"/>
      <c r="G2" s="88"/>
      <c r="H2" s="88"/>
      <c r="I2" s="88"/>
      <c r="J2" s="88"/>
      <c r="K2" s="88"/>
      <c r="L2" s="88"/>
      <c r="M2" s="88"/>
    </row>
    <row r="3" spans="1:40">
      <c r="A3" s="5"/>
      <c r="B3" s="5"/>
      <c r="C3" s="5"/>
      <c r="D3" s="5"/>
      <c r="E3" s="5"/>
      <c r="F3" s="5"/>
      <c r="G3" s="5"/>
      <c r="H3" s="5"/>
      <c r="I3" s="5"/>
      <c r="J3" s="5"/>
      <c r="K3" s="5"/>
      <c r="L3" s="5"/>
      <c r="M3" s="5"/>
      <c r="N3" s="5"/>
      <c r="O3" s="5"/>
      <c r="Y3" s="3"/>
      <c r="Z3" s="5"/>
      <c r="AA3" s="3"/>
      <c r="AB3" s="5"/>
      <c r="AC3" s="5"/>
      <c r="AD3" s="3"/>
      <c r="AE3" s="5"/>
      <c r="AF3" s="5"/>
      <c r="AG3" s="5"/>
      <c r="AH3" s="5"/>
      <c r="AI3" s="5"/>
      <c r="AJ3" s="5"/>
      <c r="AK3" s="5"/>
      <c r="AL3" s="5"/>
      <c r="AM3" s="5"/>
      <c r="AN3" s="5"/>
    </row>
    <row r="4" spans="1:40">
      <c r="A4" s="106"/>
      <c r="B4" s="106"/>
      <c r="C4" s="107"/>
      <c r="D4" s="107"/>
      <c r="E4" s="107"/>
      <c r="F4" s="107"/>
      <c r="G4" s="106"/>
      <c r="H4" s="106"/>
      <c r="I4" s="108"/>
      <c r="J4" s="106"/>
      <c r="K4" s="20"/>
      <c r="L4" s="5"/>
      <c r="M4" s="5"/>
      <c r="N4" s="5"/>
      <c r="O4" s="5"/>
      <c r="Y4" s="3"/>
      <c r="Z4" s="5"/>
      <c r="AA4" s="3"/>
      <c r="AB4" s="5"/>
      <c r="AC4" s="5"/>
      <c r="AD4" s="3"/>
      <c r="AE4" s="5"/>
      <c r="AF4" s="5"/>
      <c r="AG4" s="5"/>
      <c r="AH4" s="5"/>
      <c r="AI4" s="5"/>
      <c r="AJ4" s="5"/>
      <c r="AK4" s="5"/>
      <c r="AL4" s="5"/>
      <c r="AM4" s="5"/>
      <c r="AN4" s="5"/>
    </row>
    <row r="5" spans="1:40">
      <c r="A5" s="5"/>
      <c r="B5" s="5"/>
      <c r="C5" s="5"/>
      <c r="D5" s="5"/>
      <c r="E5" s="5"/>
      <c r="F5" s="5"/>
      <c r="G5" s="5"/>
      <c r="H5" s="5"/>
      <c r="I5" s="5"/>
      <c r="J5" s="5"/>
      <c r="K5" s="5"/>
      <c r="L5" s="5"/>
      <c r="M5" s="5"/>
      <c r="N5" s="5"/>
      <c r="O5" s="5"/>
      <c r="Y5" s="3"/>
      <c r="Z5" s="5"/>
      <c r="AA5" s="3"/>
      <c r="AB5" s="5"/>
      <c r="AC5" s="5"/>
      <c r="AD5" s="3"/>
      <c r="AE5" s="5"/>
      <c r="AF5" s="5"/>
      <c r="AG5" s="5"/>
      <c r="AH5" s="5"/>
      <c r="AI5" s="5"/>
      <c r="AJ5" s="5"/>
      <c r="AK5" s="5"/>
      <c r="AL5" s="5"/>
      <c r="AM5" s="5"/>
      <c r="AN5" s="5"/>
    </row>
    <row r="6" spans="1:40" ht="15.75" thickBot="1">
      <c r="A6" s="5"/>
      <c r="B6" s="5"/>
      <c r="C6" s="5"/>
      <c r="D6" s="5"/>
      <c r="E6" s="5"/>
      <c r="F6" s="5"/>
      <c r="G6" s="5"/>
      <c r="H6" s="5"/>
      <c r="I6" s="5"/>
      <c r="J6" s="5"/>
      <c r="K6" s="5"/>
      <c r="L6" s="5"/>
      <c r="M6" s="5"/>
      <c r="N6" s="5"/>
      <c r="O6" s="5"/>
      <c r="Y6" s="3"/>
      <c r="Z6" s="5"/>
      <c r="AA6" s="3"/>
      <c r="AB6" s="5"/>
      <c r="AC6" s="5"/>
      <c r="AD6" s="3"/>
      <c r="AE6" s="5"/>
      <c r="AF6" s="5"/>
      <c r="AG6" s="5"/>
      <c r="AH6" s="5"/>
      <c r="AI6" s="5"/>
      <c r="AJ6" s="5"/>
      <c r="AK6" s="5"/>
      <c r="AL6" s="5"/>
      <c r="AM6" s="5"/>
      <c r="AN6" s="5"/>
    </row>
    <row r="7" spans="1:40">
      <c r="A7" s="5"/>
      <c r="B7" s="138" t="s">
        <v>243</v>
      </c>
      <c r="C7" s="138" t="s">
        <v>244</v>
      </c>
      <c r="D7" s="138" t="s">
        <v>244</v>
      </c>
      <c r="E7" s="138" t="s">
        <v>245</v>
      </c>
      <c r="F7" s="138" t="s">
        <v>245</v>
      </c>
      <c r="G7" s="139">
        <f>+AVERAGE(G69:G108)</f>
        <v>-240.27015221306479</v>
      </c>
      <c r="H7" s="139">
        <f>+AVERAGE(H69:H108)</f>
        <v>93.650107158119653</v>
      </c>
      <c r="I7" s="139">
        <f>+AVERAGE(I69:I108)</f>
        <v>120.77988698107444</v>
      </c>
      <c r="L7" s="5" t="s">
        <v>246</v>
      </c>
      <c r="M7" s="5"/>
      <c r="N7" s="5"/>
      <c r="O7" s="5"/>
      <c r="Y7" s="3"/>
      <c r="Z7" s="5"/>
      <c r="AA7" s="3"/>
      <c r="AB7" s="5"/>
      <c r="AC7" s="5"/>
      <c r="AD7" s="3"/>
      <c r="AE7" s="5"/>
      <c r="AF7" s="5"/>
      <c r="AG7" s="5"/>
      <c r="AH7" s="5"/>
      <c r="AI7" s="5"/>
      <c r="AJ7" s="5"/>
      <c r="AK7" s="5"/>
      <c r="AL7" s="5"/>
      <c r="AM7" s="5"/>
      <c r="AN7" s="5"/>
    </row>
    <row r="8" spans="1:40" ht="15.75" thickBot="1">
      <c r="A8" s="151"/>
      <c r="B8" s="140" t="s">
        <v>247</v>
      </c>
      <c r="C8" s="140" t="s">
        <v>248</v>
      </c>
      <c r="D8" s="140" t="s">
        <v>249</v>
      </c>
      <c r="E8" s="140" t="s">
        <v>248</v>
      </c>
      <c r="F8" s="140" t="s">
        <v>249</v>
      </c>
      <c r="G8" s="140" t="s">
        <v>250</v>
      </c>
      <c r="H8" s="140" t="s">
        <v>251</v>
      </c>
      <c r="I8" s="141" t="s">
        <v>252</v>
      </c>
      <c r="L8" s="6"/>
      <c r="Y8" s="3"/>
      <c r="Z8" s="6"/>
      <c r="AA8" s="3"/>
      <c r="AB8" s="6"/>
      <c r="AC8" s="6"/>
      <c r="AD8" s="3"/>
      <c r="AE8" s="6"/>
      <c r="AF8" s="6"/>
      <c r="AG8" s="6"/>
      <c r="AH8" s="6"/>
      <c r="AI8" s="6"/>
      <c r="AJ8" s="6"/>
      <c r="AK8" s="6"/>
      <c r="AL8" s="6"/>
      <c r="AM8" s="6"/>
      <c r="AN8" s="6"/>
    </row>
    <row r="9" spans="1:40" ht="15.75">
      <c r="A9" s="194">
        <v>35885</v>
      </c>
      <c r="B9" s="195">
        <f t="shared" ref="B9:B68" si="0">+A9</f>
        <v>35885</v>
      </c>
      <c r="C9" s="196"/>
      <c r="D9" s="196"/>
      <c r="E9" s="197">
        <f>+E10</f>
        <v>469.38</v>
      </c>
      <c r="F9" s="192"/>
      <c r="G9" s="192"/>
      <c r="H9" s="192"/>
      <c r="I9" s="193"/>
      <c r="L9" s="6"/>
      <c r="Y9" s="3"/>
      <c r="Z9" s="6"/>
      <c r="AA9" s="3"/>
      <c r="AB9" s="6"/>
      <c r="AC9" s="6"/>
      <c r="AD9" s="3"/>
      <c r="AE9" s="6"/>
      <c r="AF9" s="6"/>
      <c r="AG9" s="6"/>
      <c r="AH9" s="6"/>
      <c r="AI9" s="6"/>
      <c r="AJ9" s="6"/>
      <c r="AK9" s="6"/>
      <c r="AL9" s="6"/>
      <c r="AM9" s="6"/>
      <c r="AN9" s="6"/>
    </row>
    <row r="10" spans="1:40" ht="15.75">
      <c r="A10" s="194">
        <f>+EOMONTH(A9,3)</f>
        <v>35976</v>
      </c>
      <c r="B10" s="195">
        <f t="shared" si="0"/>
        <v>35976</v>
      </c>
      <c r="C10" s="196"/>
      <c r="D10" s="196"/>
      <c r="E10" s="23">
        <v>469.38</v>
      </c>
      <c r="F10" s="192"/>
      <c r="G10" s="192"/>
      <c r="H10" s="192"/>
      <c r="I10" s="193"/>
      <c r="L10" s="6"/>
      <c r="Y10" s="3"/>
      <c r="Z10" s="6"/>
      <c r="AA10" s="3"/>
      <c r="AB10" s="6"/>
      <c r="AC10" s="6"/>
      <c r="AD10" s="3"/>
      <c r="AE10" s="6"/>
      <c r="AF10" s="6"/>
      <c r="AG10" s="6"/>
      <c r="AH10" s="6"/>
      <c r="AI10" s="6"/>
      <c r="AJ10" s="6"/>
      <c r="AK10" s="6"/>
      <c r="AL10" s="6"/>
      <c r="AM10" s="6"/>
      <c r="AN10" s="6"/>
    </row>
    <row r="11" spans="1:40" ht="15.75">
      <c r="A11" s="194">
        <f>+EOMONTH(A10,3)</f>
        <v>36068</v>
      </c>
      <c r="B11" s="195">
        <f t="shared" si="0"/>
        <v>36068</v>
      </c>
      <c r="C11" s="196"/>
      <c r="D11" s="196"/>
      <c r="E11" s="23">
        <v>376.97</v>
      </c>
      <c r="F11" s="192"/>
      <c r="G11" s="192"/>
      <c r="H11" s="192"/>
      <c r="I11" s="193"/>
      <c r="L11" s="6"/>
      <c r="Y11" s="3"/>
      <c r="Z11" s="6"/>
      <c r="AA11" s="3"/>
      <c r="AB11" s="6"/>
      <c r="AC11" s="6"/>
      <c r="AD11" s="3"/>
      <c r="AE11" s="6"/>
      <c r="AF11" s="6"/>
      <c r="AG11" s="6"/>
      <c r="AH11" s="6"/>
      <c r="AI11" s="6"/>
      <c r="AJ11" s="6"/>
      <c r="AK11" s="6"/>
      <c r="AL11" s="6"/>
      <c r="AM11" s="6"/>
      <c r="AN11" s="6"/>
    </row>
    <row r="12" spans="1:40" ht="15.75">
      <c r="A12" s="194">
        <f t="shared" ref="A12:A68" si="1">+EOMONTH(A11,3)</f>
        <v>36160</v>
      </c>
      <c r="B12" s="195">
        <f t="shared" si="0"/>
        <v>36160</v>
      </c>
      <c r="C12" s="196"/>
      <c r="D12" s="196"/>
      <c r="E12" s="23">
        <v>360</v>
      </c>
      <c r="F12" s="192"/>
      <c r="G12" s="192"/>
      <c r="H12" s="192"/>
      <c r="I12" s="193"/>
      <c r="L12" s="6"/>
      <c r="Y12" s="3"/>
      <c r="Z12" s="6"/>
      <c r="AA12" s="3"/>
      <c r="AB12" s="6"/>
      <c r="AC12" s="6"/>
      <c r="AD12" s="3"/>
      <c r="AE12" s="6"/>
      <c r="AF12" s="6"/>
      <c r="AG12" s="6"/>
      <c r="AH12" s="6"/>
      <c r="AI12" s="6"/>
      <c r="AJ12" s="6"/>
      <c r="AK12" s="6"/>
      <c r="AL12" s="6"/>
      <c r="AM12" s="6"/>
      <c r="AN12" s="6"/>
    </row>
    <row r="13" spans="1:40" ht="15.75">
      <c r="A13" s="194">
        <f t="shared" si="1"/>
        <v>36250</v>
      </c>
      <c r="B13" s="195">
        <f t="shared" si="0"/>
        <v>36250</v>
      </c>
      <c r="C13" s="196"/>
      <c r="D13" s="196"/>
      <c r="E13" s="23">
        <v>391.63</v>
      </c>
      <c r="F13" s="192"/>
      <c r="G13" s="192"/>
      <c r="H13" s="192"/>
      <c r="I13" s="193"/>
      <c r="L13" s="6"/>
      <c r="Y13" s="3"/>
      <c r="Z13" s="6"/>
      <c r="AA13" s="3"/>
      <c r="AB13" s="6"/>
      <c r="AC13" s="6"/>
      <c r="AD13" s="3"/>
      <c r="AE13" s="6"/>
      <c r="AF13" s="6"/>
      <c r="AG13" s="6"/>
      <c r="AH13" s="6"/>
      <c r="AI13" s="6"/>
      <c r="AJ13" s="6"/>
      <c r="AK13" s="6"/>
      <c r="AL13" s="6"/>
      <c r="AM13" s="6"/>
      <c r="AN13" s="6"/>
    </row>
    <row r="14" spans="1:40" ht="15.75">
      <c r="A14" s="194">
        <f t="shared" si="1"/>
        <v>36341</v>
      </c>
      <c r="B14" s="195">
        <f t="shared" si="0"/>
        <v>36341</v>
      </c>
      <c r="C14" s="196"/>
      <c r="D14" s="196"/>
      <c r="E14" s="23">
        <v>464.67</v>
      </c>
      <c r="F14" s="192"/>
      <c r="G14" s="192"/>
      <c r="H14" s="192"/>
      <c r="I14" s="193"/>
      <c r="L14" s="6"/>
      <c r="Y14" s="3"/>
      <c r="Z14" s="6"/>
      <c r="AA14" s="3"/>
      <c r="AB14" s="6"/>
      <c r="AC14" s="6"/>
      <c r="AD14" s="3"/>
      <c r="AE14" s="6"/>
      <c r="AF14" s="6"/>
      <c r="AG14" s="6"/>
      <c r="AH14" s="6"/>
      <c r="AI14" s="6"/>
      <c r="AJ14" s="6"/>
      <c r="AK14" s="6"/>
      <c r="AL14" s="6"/>
      <c r="AM14" s="6"/>
      <c r="AN14" s="6"/>
    </row>
    <row r="15" spans="1:40" ht="15.75">
      <c r="A15" s="194">
        <f t="shared" si="1"/>
        <v>36433</v>
      </c>
      <c r="B15" s="195">
        <f t="shared" si="0"/>
        <v>36433</v>
      </c>
      <c r="C15" s="196"/>
      <c r="D15" s="196"/>
      <c r="E15" s="23">
        <v>502</v>
      </c>
      <c r="F15" s="192"/>
      <c r="G15" s="192"/>
      <c r="H15" s="192"/>
      <c r="I15" s="193"/>
      <c r="L15" s="6"/>
      <c r="Y15" s="3"/>
      <c r="Z15" s="6"/>
      <c r="AA15" s="3"/>
      <c r="AB15" s="6"/>
      <c r="AC15" s="6"/>
      <c r="AD15" s="3"/>
      <c r="AE15" s="6"/>
      <c r="AF15" s="6"/>
      <c r="AG15" s="6"/>
      <c r="AH15" s="6"/>
      <c r="AI15" s="6"/>
      <c r="AJ15" s="6"/>
      <c r="AK15" s="6"/>
      <c r="AL15" s="6"/>
      <c r="AM15" s="6"/>
      <c r="AN15" s="6"/>
    </row>
    <row r="16" spans="1:40" ht="15.75">
      <c r="A16" s="194">
        <f t="shared" si="1"/>
        <v>36525</v>
      </c>
      <c r="B16" s="195">
        <f t="shared" si="0"/>
        <v>36525</v>
      </c>
      <c r="C16" s="196"/>
      <c r="D16" s="196"/>
      <c r="E16" s="23">
        <v>580</v>
      </c>
      <c r="F16" s="192"/>
      <c r="G16" s="192"/>
      <c r="H16" s="192"/>
      <c r="I16" s="193"/>
      <c r="L16" s="6"/>
      <c r="Y16" s="3"/>
      <c r="Z16" s="6"/>
      <c r="AA16" s="3"/>
      <c r="AB16" s="6"/>
      <c r="AC16" s="6"/>
      <c r="AD16" s="3"/>
      <c r="AE16" s="6"/>
      <c r="AF16" s="6"/>
      <c r="AG16" s="6"/>
      <c r="AH16" s="6"/>
      <c r="AI16" s="6"/>
      <c r="AJ16" s="6"/>
      <c r="AK16" s="6"/>
      <c r="AL16" s="6"/>
      <c r="AM16" s="6"/>
      <c r="AN16" s="6"/>
    </row>
    <row r="17" spans="1:40" ht="15.75">
      <c r="A17" s="194">
        <f t="shared" si="1"/>
        <v>36616</v>
      </c>
      <c r="B17" s="195">
        <f t="shared" si="0"/>
        <v>36616</v>
      </c>
      <c r="C17" s="196"/>
      <c r="D17" s="196"/>
      <c r="E17" s="23">
        <v>601.09</v>
      </c>
      <c r="F17" s="192"/>
      <c r="G17" s="192"/>
      <c r="H17" s="192"/>
      <c r="I17" s="193"/>
      <c r="L17" s="6"/>
      <c r="Y17" s="3"/>
      <c r="Z17" s="6"/>
      <c r="AA17" s="3"/>
      <c r="AB17" s="6"/>
      <c r="AC17" s="6"/>
      <c r="AD17" s="3"/>
      <c r="AE17" s="6"/>
      <c r="AF17" s="6"/>
      <c r="AG17" s="6"/>
      <c r="AH17" s="6"/>
      <c r="AI17" s="6"/>
      <c r="AJ17" s="6"/>
      <c r="AK17" s="6"/>
      <c r="AL17" s="6"/>
      <c r="AM17" s="6"/>
      <c r="AN17" s="6"/>
    </row>
    <row r="18" spans="1:40" ht="15.75">
      <c r="A18" s="194">
        <f t="shared" si="1"/>
        <v>36707</v>
      </c>
      <c r="B18" s="195">
        <f t="shared" si="0"/>
        <v>36707</v>
      </c>
      <c r="C18" s="196"/>
      <c r="D18" s="196"/>
      <c r="E18" s="23">
        <v>650.03</v>
      </c>
      <c r="F18" s="192"/>
      <c r="G18" s="192"/>
      <c r="H18" s="192"/>
      <c r="I18" s="193"/>
      <c r="L18" s="6"/>
      <c r="Y18" s="3"/>
      <c r="Z18" s="6"/>
      <c r="AA18" s="3"/>
      <c r="AB18" s="6"/>
      <c r="AC18" s="6"/>
      <c r="AD18" s="3"/>
      <c r="AE18" s="6"/>
      <c r="AF18" s="6"/>
      <c r="AG18" s="6"/>
      <c r="AH18" s="6"/>
      <c r="AI18" s="6"/>
      <c r="AJ18" s="6"/>
      <c r="AK18" s="6"/>
      <c r="AL18" s="6"/>
      <c r="AM18" s="6"/>
      <c r="AN18" s="6"/>
    </row>
    <row r="19" spans="1:40" ht="15.75">
      <c r="A19" s="194">
        <f t="shared" si="1"/>
        <v>36799</v>
      </c>
      <c r="B19" s="195">
        <f t="shared" si="0"/>
        <v>36799</v>
      </c>
      <c r="C19" s="196"/>
      <c r="D19" s="196"/>
      <c r="E19" s="23">
        <v>668.55</v>
      </c>
      <c r="F19" s="192"/>
      <c r="G19" s="192"/>
      <c r="H19" s="192"/>
      <c r="I19" s="193"/>
      <c r="L19" s="6"/>
      <c r="Y19" s="3"/>
      <c r="Z19" s="6"/>
      <c r="AA19" s="3"/>
      <c r="AB19" s="6"/>
      <c r="AC19" s="6"/>
      <c r="AD19" s="3"/>
      <c r="AE19" s="6"/>
      <c r="AF19" s="6"/>
      <c r="AG19" s="6"/>
      <c r="AH19" s="6"/>
      <c r="AI19" s="6"/>
      <c r="AJ19" s="6"/>
      <c r="AK19" s="6"/>
      <c r="AL19" s="6"/>
      <c r="AM19" s="6"/>
      <c r="AN19" s="6"/>
    </row>
    <row r="20" spans="1:40" ht="15.75">
      <c r="A20" s="194">
        <f t="shared" si="1"/>
        <v>36891</v>
      </c>
      <c r="B20" s="195">
        <f t="shared" si="0"/>
        <v>36891</v>
      </c>
      <c r="C20" s="196"/>
      <c r="D20" s="196"/>
      <c r="E20" s="23">
        <v>698.14</v>
      </c>
      <c r="F20" s="192"/>
      <c r="G20" s="192"/>
      <c r="H20" s="192"/>
      <c r="I20" s="193"/>
      <c r="L20" s="6"/>
      <c r="Y20" s="3"/>
      <c r="Z20" s="6"/>
      <c r="AA20" s="3"/>
      <c r="AB20" s="6"/>
      <c r="AC20" s="6"/>
      <c r="AD20" s="3"/>
      <c r="AE20" s="6"/>
      <c r="AF20" s="6"/>
      <c r="AG20" s="6"/>
      <c r="AH20" s="6"/>
      <c r="AI20" s="6"/>
      <c r="AJ20" s="6"/>
      <c r="AK20" s="6"/>
      <c r="AL20" s="6"/>
      <c r="AM20" s="6"/>
      <c r="AN20" s="6"/>
    </row>
    <row r="21" spans="1:40" ht="15.75">
      <c r="A21" s="194">
        <f t="shared" si="1"/>
        <v>36981</v>
      </c>
      <c r="B21" s="195">
        <f t="shared" si="0"/>
        <v>36981</v>
      </c>
      <c r="C21" s="196"/>
      <c r="D21" s="196"/>
      <c r="E21" s="23">
        <v>572.33000000000004</v>
      </c>
      <c r="F21" s="192"/>
      <c r="G21" s="192"/>
      <c r="H21" s="192"/>
      <c r="I21" s="193"/>
      <c r="L21" s="6"/>
      <c r="Y21" s="3"/>
      <c r="Z21" s="6"/>
      <c r="AA21" s="3"/>
      <c r="AB21" s="6"/>
      <c r="AC21" s="6"/>
      <c r="AD21" s="3"/>
      <c r="AE21" s="6"/>
      <c r="AF21" s="6"/>
      <c r="AG21" s="6"/>
      <c r="AH21" s="6"/>
      <c r="AI21" s="6"/>
      <c r="AJ21" s="6"/>
      <c r="AK21" s="6"/>
      <c r="AL21" s="6"/>
      <c r="AM21" s="6"/>
      <c r="AN21" s="6"/>
    </row>
    <row r="22" spans="1:40" ht="15.75">
      <c r="A22" s="194">
        <f t="shared" si="1"/>
        <v>37072</v>
      </c>
      <c r="B22" s="195">
        <f t="shared" si="0"/>
        <v>37072</v>
      </c>
      <c r="C22" s="196"/>
      <c r="D22" s="196"/>
      <c r="E22" s="23">
        <v>440.86</v>
      </c>
      <c r="F22" s="192"/>
      <c r="G22" s="192"/>
      <c r="H22" s="192"/>
      <c r="I22" s="193"/>
      <c r="L22" s="6"/>
      <c r="Y22" s="3"/>
      <c r="Z22" s="6"/>
      <c r="AA22" s="3"/>
      <c r="AB22" s="6"/>
      <c r="AC22" s="6"/>
      <c r="AD22" s="3"/>
      <c r="AE22" s="6"/>
      <c r="AF22" s="6"/>
      <c r="AG22" s="6"/>
      <c r="AH22" s="6"/>
      <c r="AI22" s="6"/>
      <c r="AJ22" s="6"/>
      <c r="AK22" s="6"/>
      <c r="AL22" s="6"/>
      <c r="AM22" s="6"/>
      <c r="AN22" s="6"/>
    </row>
    <row r="23" spans="1:40" ht="15.75">
      <c r="A23" s="194">
        <f t="shared" si="1"/>
        <v>37164</v>
      </c>
      <c r="B23" s="195">
        <f t="shared" si="0"/>
        <v>37164</v>
      </c>
      <c r="C23" s="196"/>
      <c r="D23" s="196"/>
      <c r="E23" s="23">
        <v>404.96</v>
      </c>
      <c r="F23" s="192"/>
      <c r="G23" s="192"/>
      <c r="H23" s="192"/>
      <c r="I23" s="193"/>
      <c r="L23" s="6"/>
      <c r="Y23" s="3"/>
      <c r="Z23" s="6"/>
      <c r="AA23" s="3"/>
      <c r="AB23" s="6"/>
      <c r="AC23" s="6"/>
      <c r="AD23" s="3"/>
      <c r="AE23" s="6"/>
      <c r="AF23" s="6"/>
      <c r="AG23" s="6"/>
      <c r="AH23" s="6"/>
      <c r="AI23" s="6"/>
      <c r="AJ23" s="6"/>
      <c r="AK23" s="6"/>
      <c r="AL23" s="6"/>
      <c r="AM23" s="6"/>
      <c r="AN23" s="6"/>
    </row>
    <row r="24" spans="1:40" ht="15.75">
      <c r="A24" s="194">
        <f t="shared" si="1"/>
        <v>37256</v>
      </c>
      <c r="B24" s="195">
        <f t="shared" si="0"/>
        <v>37256</v>
      </c>
      <c r="C24" s="196"/>
      <c r="D24" s="196"/>
      <c r="E24" s="23">
        <v>423.53</v>
      </c>
      <c r="F24" s="192"/>
      <c r="G24" s="192"/>
      <c r="H24" s="192"/>
      <c r="I24" s="193"/>
      <c r="L24" s="6"/>
      <c r="Y24" s="3"/>
      <c r="Z24" s="6"/>
      <c r="AA24" s="3"/>
      <c r="AB24" s="6"/>
      <c r="AC24" s="6"/>
      <c r="AD24" s="3"/>
      <c r="AE24" s="6"/>
      <c r="AF24" s="6"/>
      <c r="AG24" s="6"/>
      <c r="AH24" s="6"/>
      <c r="AI24" s="6"/>
      <c r="AJ24" s="6"/>
      <c r="AK24" s="6"/>
      <c r="AL24" s="6"/>
      <c r="AM24" s="6"/>
      <c r="AN24" s="6"/>
    </row>
    <row r="25" spans="1:40" ht="15.75">
      <c r="A25" s="194">
        <f t="shared" si="1"/>
        <v>37346</v>
      </c>
      <c r="B25" s="195">
        <f t="shared" si="0"/>
        <v>37346</v>
      </c>
      <c r="C25" s="196"/>
      <c r="D25" s="196"/>
      <c r="E25" s="23">
        <v>391.96</v>
      </c>
      <c r="F25" s="192"/>
      <c r="G25" s="192"/>
      <c r="H25" s="192"/>
      <c r="I25" s="193"/>
      <c r="L25" s="6"/>
      <c r="Y25" s="3"/>
      <c r="Z25" s="6"/>
      <c r="AA25" s="3"/>
      <c r="AB25" s="6"/>
      <c r="AC25" s="6"/>
      <c r="AD25" s="3"/>
      <c r="AE25" s="6"/>
      <c r="AF25" s="6"/>
      <c r="AG25" s="6"/>
      <c r="AH25" s="6"/>
      <c r="AI25" s="6"/>
      <c r="AJ25" s="6"/>
      <c r="AK25" s="6"/>
      <c r="AL25" s="6"/>
      <c r="AM25" s="6"/>
      <c r="AN25" s="6"/>
    </row>
    <row r="26" spans="1:40" ht="15.75">
      <c r="A26" s="194">
        <f t="shared" si="1"/>
        <v>37437</v>
      </c>
      <c r="B26" s="195">
        <f t="shared" si="0"/>
        <v>37437</v>
      </c>
      <c r="C26" s="196"/>
      <c r="D26" s="196"/>
      <c r="E26" s="23">
        <v>485.5</v>
      </c>
      <c r="F26" s="192"/>
      <c r="G26" s="192"/>
      <c r="H26" s="192"/>
      <c r="I26" s="193"/>
      <c r="L26" s="6"/>
      <c r="Y26" s="3"/>
      <c r="Z26" s="6"/>
      <c r="AA26" s="3"/>
      <c r="AB26" s="6"/>
      <c r="AC26" s="6"/>
      <c r="AD26" s="3"/>
      <c r="AE26" s="6"/>
      <c r="AF26" s="6"/>
      <c r="AG26" s="6"/>
      <c r="AH26" s="6"/>
      <c r="AI26" s="6"/>
      <c r="AJ26" s="6"/>
      <c r="AK26" s="6"/>
      <c r="AL26" s="6"/>
      <c r="AM26" s="6"/>
      <c r="AN26" s="6"/>
    </row>
    <row r="27" spans="1:40" ht="15.75">
      <c r="A27" s="194">
        <f t="shared" si="1"/>
        <v>37529</v>
      </c>
      <c r="B27" s="195">
        <f t="shared" si="0"/>
        <v>37529</v>
      </c>
      <c r="C27" s="196"/>
      <c r="D27" s="196"/>
      <c r="E27" s="23">
        <v>507.35</v>
      </c>
      <c r="F27" s="192"/>
      <c r="G27" s="192"/>
      <c r="H27" s="192"/>
      <c r="I27" s="193"/>
      <c r="L27" s="6"/>
      <c r="Y27" s="3"/>
      <c r="Z27" s="6"/>
      <c r="AA27" s="3"/>
      <c r="AB27" s="6"/>
      <c r="AC27" s="6"/>
      <c r="AD27" s="3"/>
      <c r="AE27" s="6"/>
      <c r="AF27" s="6"/>
      <c r="AG27" s="6"/>
      <c r="AH27" s="6"/>
      <c r="AI27" s="6"/>
      <c r="AJ27" s="6"/>
      <c r="AK27" s="6"/>
      <c r="AL27" s="6"/>
      <c r="AM27" s="6"/>
      <c r="AN27" s="6"/>
    </row>
    <row r="28" spans="1:40" ht="15.75">
      <c r="A28" s="194">
        <f t="shared" si="1"/>
        <v>37621</v>
      </c>
      <c r="B28" s="195">
        <f t="shared" si="0"/>
        <v>37621</v>
      </c>
      <c r="C28" s="196"/>
      <c r="D28" s="196"/>
      <c r="E28" s="23">
        <v>452.1</v>
      </c>
      <c r="F28" s="192"/>
      <c r="G28" s="192"/>
      <c r="H28" s="192"/>
      <c r="I28" s="193"/>
      <c r="L28" s="6"/>
      <c r="Y28" s="3"/>
      <c r="Z28" s="6"/>
      <c r="AA28" s="3"/>
      <c r="AB28" s="6"/>
      <c r="AC28" s="6"/>
      <c r="AD28" s="3"/>
      <c r="AE28" s="6"/>
      <c r="AF28" s="6"/>
      <c r="AG28" s="6"/>
      <c r="AH28" s="6"/>
      <c r="AI28" s="6"/>
      <c r="AJ28" s="6"/>
      <c r="AK28" s="6"/>
      <c r="AL28" s="6"/>
      <c r="AM28" s="6"/>
      <c r="AN28" s="6"/>
    </row>
    <row r="29" spans="1:40" ht="15.75">
      <c r="A29" s="194">
        <f t="shared" si="1"/>
        <v>37711</v>
      </c>
      <c r="B29" s="195">
        <f t="shared" si="0"/>
        <v>37711</v>
      </c>
      <c r="C29" s="196"/>
      <c r="D29" s="196"/>
      <c r="E29" s="23">
        <v>508.03</v>
      </c>
      <c r="F29" s="192"/>
      <c r="G29" s="192"/>
      <c r="H29" s="192"/>
      <c r="I29" s="193"/>
      <c r="L29" s="6"/>
      <c r="Y29" s="3"/>
      <c r="Z29" s="6"/>
      <c r="AA29" s="3"/>
      <c r="AB29" s="6"/>
      <c r="AC29" s="6"/>
      <c r="AD29" s="3"/>
      <c r="AE29" s="6"/>
      <c r="AF29" s="6"/>
      <c r="AG29" s="6"/>
      <c r="AH29" s="6"/>
      <c r="AI29" s="6"/>
      <c r="AJ29" s="6"/>
      <c r="AK29" s="6"/>
      <c r="AL29" s="6"/>
      <c r="AM29" s="6"/>
      <c r="AN29" s="6"/>
    </row>
    <row r="30" spans="1:40" ht="15.75">
      <c r="A30" s="194">
        <f t="shared" si="1"/>
        <v>37802</v>
      </c>
      <c r="B30" s="195">
        <f t="shared" si="0"/>
        <v>37802</v>
      </c>
      <c r="C30" s="196"/>
      <c r="D30" s="196"/>
      <c r="E30" s="23">
        <v>517.25</v>
      </c>
      <c r="F30" s="192"/>
      <c r="G30" s="192"/>
      <c r="H30" s="192"/>
      <c r="I30" s="193"/>
      <c r="L30" s="6"/>
      <c r="Y30" s="3"/>
      <c r="Z30" s="6"/>
      <c r="AA30" s="3"/>
      <c r="AB30" s="6"/>
      <c r="AC30" s="6"/>
      <c r="AD30" s="3"/>
      <c r="AE30" s="6"/>
      <c r="AF30" s="6"/>
      <c r="AG30" s="6"/>
      <c r="AH30" s="6"/>
      <c r="AI30" s="6"/>
      <c r="AJ30" s="6"/>
      <c r="AK30" s="6"/>
      <c r="AL30" s="6"/>
      <c r="AM30" s="6"/>
      <c r="AN30" s="6"/>
    </row>
    <row r="31" spans="1:40" ht="15.75">
      <c r="A31" s="194">
        <f t="shared" si="1"/>
        <v>37894</v>
      </c>
      <c r="B31" s="195">
        <f t="shared" si="0"/>
        <v>37894</v>
      </c>
      <c r="C31" s="196"/>
      <c r="D31" s="196"/>
      <c r="E31" s="23">
        <v>512.67999999999995</v>
      </c>
      <c r="F31" s="192"/>
      <c r="G31" s="192"/>
      <c r="H31" s="192"/>
      <c r="I31" s="193"/>
      <c r="L31" s="6"/>
      <c r="Y31" s="3"/>
      <c r="Z31" s="6"/>
      <c r="AA31" s="3"/>
      <c r="AB31" s="6"/>
      <c r="AC31" s="6"/>
      <c r="AD31" s="3"/>
      <c r="AE31" s="6"/>
      <c r="AF31" s="6"/>
      <c r="AG31" s="6"/>
      <c r="AH31" s="6"/>
      <c r="AI31" s="6"/>
      <c r="AJ31" s="6"/>
      <c r="AK31" s="6"/>
      <c r="AL31" s="6"/>
      <c r="AM31" s="6"/>
      <c r="AN31" s="6"/>
    </row>
    <row r="32" spans="1:40" ht="15.75">
      <c r="A32" s="194">
        <f t="shared" si="1"/>
        <v>37986</v>
      </c>
      <c r="B32" s="195">
        <f t="shared" si="0"/>
        <v>37986</v>
      </c>
      <c r="C32" s="196"/>
      <c r="D32" s="196"/>
      <c r="E32" s="23">
        <v>498.01</v>
      </c>
      <c r="F32" s="192"/>
      <c r="G32" s="192"/>
      <c r="H32" s="192"/>
      <c r="I32" s="193"/>
      <c r="L32" s="6"/>
      <c r="Y32" s="3"/>
      <c r="Z32" s="6"/>
      <c r="AA32" s="3"/>
      <c r="AB32" s="6"/>
      <c r="AC32" s="6"/>
      <c r="AD32" s="3"/>
      <c r="AE32" s="6"/>
      <c r="AF32" s="6"/>
      <c r="AG32" s="6"/>
      <c r="AH32" s="6"/>
      <c r="AI32" s="6"/>
      <c r="AJ32" s="6"/>
      <c r="AK32" s="6"/>
      <c r="AL32" s="6"/>
      <c r="AM32" s="6"/>
      <c r="AN32" s="6"/>
    </row>
    <row r="33" spans="1:40" ht="15.75">
      <c r="A33" s="194">
        <f t="shared" si="1"/>
        <v>38077</v>
      </c>
      <c r="B33" s="195">
        <f t="shared" si="0"/>
        <v>38077</v>
      </c>
      <c r="C33" s="196"/>
      <c r="D33" s="196"/>
      <c r="E33" s="23">
        <v>516.79999999999995</v>
      </c>
      <c r="F33" s="192"/>
      <c r="G33" s="192"/>
      <c r="H33" s="192"/>
      <c r="I33" s="193"/>
      <c r="L33" s="6"/>
      <c r="Y33" s="3"/>
      <c r="Z33" s="6"/>
      <c r="AA33" s="3"/>
      <c r="AB33" s="6"/>
      <c r="AC33" s="6"/>
      <c r="AD33" s="3"/>
      <c r="AE33" s="6"/>
      <c r="AF33" s="6"/>
      <c r="AG33" s="6"/>
      <c r="AH33" s="6"/>
      <c r="AI33" s="6"/>
      <c r="AJ33" s="6"/>
      <c r="AK33" s="6"/>
      <c r="AL33" s="6"/>
      <c r="AM33" s="6"/>
      <c r="AN33" s="6"/>
    </row>
    <row r="34" spans="1:40" ht="15.75">
      <c r="A34" s="194">
        <f t="shared" si="1"/>
        <v>38168</v>
      </c>
      <c r="B34" s="195">
        <f t="shared" si="0"/>
        <v>38168</v>
      </c>
      <c r="C34" s="196"/>
      <c r="D34" s="196"/>
      <c r="E34" s="23">
        <v>556.01</v>
      </c>
      <c r="F34" s="192"/>
      <c r="G34" s="192"/>
      <c r="H34" s="192"/>
      <c r="I34" s="193"/>
      <c r="L34" s="6"/>
      <c r="Y34" s="3"/>
      <c r="Z34" s="6"/>
      <c r="AA34" s="3"/>
      <c r="AB34" s="6"/>
      <c r="AC34" s="6"/>
      <c r="AD34" s="3"/>
      <c r="AE34" s="6"/>
      <c r="AF34" s="6"/>
      <c r="AG34" s="6"/>
      <c r="AH34" s="6"/>
      <c r="AI34" s="6"/>
      <c r="AJ34" s="6"/>
      <c r="AK34" s="6"/>
      <c r="AL34" s="6"/>
      <c r="AM34" s="6"/>
      <c r="AN34" s="6"/>
    </row>
    <row r="35" spans="1:40" ht="15.75">
      <c r="A35" s="194">
        <f t="shared" si="1"/>
        <v>38260</v>
      </c>
      <c r="B35" s="195">
        <f t="shared" si="0"/>
        <v>38260</v>
      </c>
      <c r="C35" s="196"/>
      <c r="D35" s="196"/>
      <c r="E35" s="23">
        <v>499.59</v>
      </c>
      <c r="F35" s="192"/>
      <c r="G35" s="192"/>
      <c r="H35" s="192"/>
      <c r="I35" s="193"/>
      <c r="L35" s="6"/>
      <c r="Y35" s="3"/>
      <c r="Z35" s="6"/>
      <c r="AA35" s="3"/>
      <c r="AB35" s="6"/>
      <c r="AC35" s="6"/>
      <c r="AD35" s="3"/>
      <c r="AE35" s="6"/>
      <c r="AF35" s="6"/>
      <c r="AG35" s="6"/>
      <c r="AH35" s="6"/>
      <c r="AI35" s="6"/>
      <c r="AJ35" s="6"/>
      <c r="AK35" s="6"/>
      <c r="AL35" s="6"/>
      <c r="AM35" s="6"/>
      <c r="AN35" s="6"/>
    </row>
    <row r="36" spans="1:40" ht="15.75">
      <c r="A36" s="194">
        <f t="shared" si="1"/>
        <v>38352</v>
      </c>
      <c r="B36" s="195">
        <f t="shared" si="0"/>
        <v>38352</v>
      </c>
      <c r="C36" s="196"/>
      <c r="D36" s="196"/>
      <c r="E36" s="23">
        <v>523.24</v>
      </c>
      <c r="F36" s="192"/>
      <c r="G36" s="192"/>
      <c r="H36" s="192"/>
      <c r="I36" s="193"/>
      <c r="L36" s="6"/>
      <c r="Y36" s="3"/>
      <c r="Z36" s="6"/>
      <c r="AA36" s="3"/>
      <c r="AB36" s="6"/>
      <c r="AC36" s="6"/>
      <c r="AD36" s="3"/>
      <c r="AE36" s="6"/>
      <c r="AF36" s="6"/>
      <c r="AG36" s="6"/>
      <c r="AH36" s="6"/>
      <c r="AI36" s="6"/>
      <c r="AJ36" s="6"/>
      <c r="AK36" s="6"/>
      <c r="AL36" s="6"/>
      <c r="AM36" s="6"/>
      <c r="AN36" s="6"/>
    </row>
    <row r="37" spans="1:40" ht="15.75">
      <c r="A37" s="194">
        <f t="shared" si="1"/>
        <v>38442</v>
      </c>
      <c r="B37" s="195">
        <f t="shared" si="0"/>
        <v>38442</v>
      </c>
      <c r="C37" s="196"/>
      <c r="D37" s="196"/>
      <c r="E37" s="23">
        <v>579.33000000000004</v>
      </c>
      <c r="F37" s="192"/>
      <c r="G37" s="192"/>
      <c r="H37" s="192"/>
      <c r="I37" s="193"/>
      <c r="L37" s="6"/>
      <c r="Y37" s="3"/>
      <c r="Z37" s="6"/>
      <c r="AA37" s="3"/>
      <c r="AB37" s="6"/>
      <c r="AC37" s="6"/>
      <c r="AD37" s="3"/>
      <c r="AE37" s="6"/>
      <c r="AF37" s="6"/>
      <c r="AG37" s="6"/>
      <c r="AH37" s="6"/>
      <c r="AI37" s="6"/>
      <c r="AJ37" s="6"/>
      <c r="AK37" s="6"/>
      <c r="AL37" s="6"/>
      <c r="AM37" s="6"/>
      <c r="AN37" s="6"/>
    </row>
    <row r="38" spans="1:40" ht="15.75">
      <c r="A38" s="194">
        <f t="shared" si="1"/>
        <v>38533</v>
      </c>
      <c r="B38" s="195">
        <f t="shared" si="0"/>
        <v>38533</v>
      </c>
      <c r="C38" s="196"/>
      <c r="D38" s="196"/>
      <c r="E38" s="23">
        <v>594.16</v>
      </c>
      <c r="F38" s="192"/>
      <c r="G38" s="192"/>
      <c r="H38" s="192"/>
      <c r="I38" s="193"/>
      <c r="L38" s="6"/>
      <c r="Y38" s="3"/>
      <c r="Z38" s="6"/>
      <c r="AA38" s="3"/>
      <c r="AB38" s="6"/>
      <c r="AC38" s="6"/>
      <c r="AD38" s="3"/>
      <c r="AE38" s="6"/>
      <c r="AF38" s="6"/>
      <c r="AG38" s="6"/>
      <c r="AH38" s="6"/>
      <c r="AI38" s="6"/>
      <c r="AJ38" s="6"/>
      <c r="AK38" s="6"/>
      <c r="AL38" s="6"/>
      <c r="AM38" s="6"/>
      <c r="AN38" s="6"/>
    </row>
    <row r="39" spans="1:40" ht="15.75">
      <c r="A39" s="194">
        <f t="shared" si="1"/>
        <v>38625</v>
      </c>
      <c r="B39" s="195">
        <f t="shared" si="0"/>
        <v>38625</v>
      </c>
      <c r="C39" s="196"/>
      <c r="D39" s="196"/>
      <c r="E39" s="23">
        <v>587.44000000000005</v>
      </c>
      <c r="F39" s="192"/>
      <c r="G39" s="192"/>
      <c r="H39" s="192"/>
      <c r="I39" s="193"/>
      <c r="L39" s="6"/>
      <c r="Y39" s="3"/>
      <c r="Z39" s="6"/>
      <c r="AA39" s="3"/>
      <c r="AB39" s="6"/>
      <c r="AC39" s="6"/>
      <c r="AD39" s="3"/>
      <c r="AE39" s="6"/>
      <c r="AF39" s="6"/>
      <c r="AG39" s="6"/>
      <c r="AH39" s="6"/>
      <c r="AI39" s="6"/>
      <c r="AJ39" s="6"/>
      <c r="AK39" s="6"/>
      <c r="AL39" s="6"/>
      <c r="AM39" s="6"/>
      <c r="AN39" s="6"/>
    </row>
    <row r="40" spans="1:40" ht="15.75">
      <c r="A40" s="194">
        <f t="shared" si="1"/>
        <v>38717</v>
      </c>
      <c r="B40" s="195">
        <f t="shared" si="0"/>
        <v>38717</v>
      </c>
      <c r="C40" s="196"/>
      <c r="D40" s="196"/>
      <c r="E40" s="23">
        <v>589.23</v>
      </c>
      <c r="F40" s="192"/>
      <c r="G40" s="192"/>
      <c r="H40" s="192"/>
      <c r="I40" s="193"/>
      <c r="L40" s="6"/>
      <c r="Y40" s="3"/>
      <c r="Z40" s="6"/>
      <c r="AA40" s="3"/>
      <c r="AB40" s="6"/>
      <c r="AC40" s="6"/>
      <c r="AD40" s="3"/>
      <c r="AE40" s="6"/>
      <c r="AF40" s="6"/>
      <c r="AG40" s="6"/>
      <c r="AH40" s="6"/>
      <c r="AI40" s="6"/>
      <c r="AJ40" s="6"/>
      <c r="AK40" s="6"/>
      <c r="AL40" s="6"/>
      <c r="AM40" s="6"/>
      <c r="AN40" s="6"/>
    </row>
    <row r="41" spans="1:40" ht="15.75">
      <c r="A41" s="194">
        <f t="shared" si="1"/>
        <v>38807</v>
      </c>
      <c r="B41" s="195">
        <f t="shared" si="0"/>
        <v>38807</v>
      </c>
      <c r="C41" s="196"/>
      <c r="D41" s="196"/>
      <c r="E41" s="23">
        <v>617.76</v>
      </c>
      <c r="F41" s="192"/>
      <c r="G41" s="192"/>
      <c r="H41" s="192"/>
      <c r="I41" s="193"/>
      <c r="L41" s="6"/>
      <c r="Y41" s="3"/>
      <c r="Z41" s="6"/>
      <c r="AA41" s="3"/>
      <c r="AB41" s="6"/>
      <c r="AC41" s="6"/>
      <c r="AD41" s="3"/>
      <c r="AE41" s="6"/>
      <c r="AF41" s="6"/>
      <c r="AG41" s="6"/>
      <c r="AH41" s="6"/>
      <c r="AI41" s="6"/>
      <c r="AJ41" s="6"/>
      <c r="AK41" s="6"/>
      <c r="AL41" s="6"/>
      <c r="AM41" s="6"/>
      <c r="AN41" s="6"/>
    </row>
    <row r="42" spans="1:40" ht="15.75">
      <c r="A42" s="194">
        <f t="shared" si="1"/>
        <v>38898</v>
      </c>
      <c r="B42" s="195">
        <f t="shared" si="0"/>
        <v>38898</v>
      </c>
      <c r="C42" s="196"/>
      <c r="D42" s="196"/>
      <c r="E42" s="23">
        <v>639.28</v>
      </c>
      <c r="F42" s="192"/>
      <c r="G42" s="192"/>
      <c r="H42" s="192"/>
      <c r="I42" s="193"/>
      <c r="L42" s="6"/>
      <c r="Y42" s="3"/>
      <c r="Z42" s="6"/>
      <c r="AA42" s="3"/>
      <c r="AB42" s="6"/>
      <c r="AC42" s="6"/>
      <c r="AD42" s="3"/>
      <c r="AE42" s="6"/>
      <c r="AF42" s="6"/>
      <c r="AG42" s="6"/>
      <c r="AH42" s="6"/>
      <c r="AI42" s="6"/>
      <c r="AJ42" s="6"/>
      <c r="AK42" s="6"/>
      <c r="AL42" s="6"/>
      <c r="AM42" s="6"/>
      <c r="AN42" s="6"/>
    </row>
    <row r="43" spans="1:40" ht="15.75">
      <c r="A43" s="194">
        <f t="shared" si="1"/>
        <v>38990</v>
      </c>
      <c r="B43" s="195">
        <f t="shared" si="0"/>
        <v>38990</v>
      </c>
      <c r="C43" s="196"/>
      <c r="D43" s="196"/>
      <c r="E43" s="23">
        <v>660</v>
      </c>
      <c r="F43" s="192"/>
      <c r="G43" s="192"/>
      <c r="H43" s="192"/>
      <c r="I43" s="193"/>
      <c r="L43" s="6"/>
      <c r="Y43" s="3"/>
      <c r="Z43" s="6"/>
      <c r="AA43" s="3"/>
      <c r="AB43" s="6"/>
      <c r="AC43" s="6"/>
      <c r="AD43" s="3"/>
      <c r="AE43" s="6"/>
      <c r="AF43" s="6"/>
      <c r="AG43" s="6"/>
      <c r="AH43" s="6"/>
      <c r="AI43" s="6"/>
      <c r="AJ43" s="6"/>
      <c r="AK43" s="6"/>
      <c r="AL43" s="6"/>
      <c r="AM43" s="6"/>
      <c r="AN43" s="6"/>
    </row>
    <row r="44" spans="1:40" ht="15.75">
      <c r="A44" s="194">
        <f t="shared" si="1"/>
        <v>39082</v>
      </c>
      <c r="B44" s="195">
        <f t="shared" si="0"/>
        <v>39082</v>
      </c>
      <c r="C44" s="196"/>
      <c r="D44" s="196"/>
      <c r="E44" s="23">
        <v>671.62</v>
      </c>
      <c r="F44" s="192"/>
      <c r="G44" s="192"/>
      <c r="H44" s="192"/>
      <c r="I44" s="193"/>
      <c r="L44" s="6"/>
      <c r="Y44" s="3"/>
      <c r="Z44" s="6"/>
      <c r="AA44" s="3"/>
      <c r="AB44" s="6"/>
      <c r="AC44" s="6"/>
      <c r="AD44" s="3"/>
      <c r="AE44" s="6"/>
      <c r="AF44" s="6"/>
      <c r="AG44" s="6"/>
      <c r="AH44" s="6"/>
      <c r="AI44" s="6"/>
      <c r="AJ44" s="6"/>
      <c r="AK44" s="6"/>
      <c r="AL44" s="6"/>
      <c r="AM44" s="6"/>
      <c r="AN44" s="6"/>
    </row>
    <row r="45" spans="1:40" ht="15.75">
      <c r="A45" s="194">
        <f t="shared" si="1"/>
        <v>39172</v>
      </c>
      <c r="B45" s="195">
        <f t="shared" si="0"/>
        <v>39172</v>
      </c>
      <c r="C45" s="196"/>
      <c r="D45" s="196"/>
      <c r="E45" s="23">
        <v>670.53</v>
      </c>
      <c r="F45" s="192"/>
      <c r="G45" s="192"/>
      <c r="H45" s="192"/>
      <c r="I45" s="193"/>
      <c r="L45" s="6"/>
      <c r="Y45" s="3"/>
      <c r="Z45" s="6"/>
      <c r="AA45" s="3"/>
      <c r="AB45" s="6"/>
      <c r="AC45" s="6"/>
      <c r="AD45" s="3"/>
      <c r="AE45" s="6"/>
      <c r="AF45" s="6"/>
      <c r="AG45" s="6"/>
      <c r="AH45" s="6"/>
      <c r="AI45" s="6"/>
      <c r="AJ45" s="6"/>
      <c r="AK45" s="6"/>
      <c r="AL45" s="6"/>
      <c r="AM45" s="6"/>
      <c r="AN45" s="6"/>
    </row>
    <row r="46" spans="1:40" ht="15.75">
      <c r="A46" s="194">
        <f t="shared" si="1"/>
        <v>39263</v>
      </c>
      <c r="B46" s="195">
        <f t="shared" si="0"/>
        <v>39263</v>
      </c>
      <c r="C46" s="196"/>
      <c r="D46" s="196"/>
      <c r="E46" s="23">
        <v>691.5</v>
      </c>
      <c r="F46" s="192"/>
      <c r="G46" s="192"/>
      <c r="H46" s="192"/>
      <c r="I46" s="193"/>
      <c r="L46" s="6"/>
      <c r="Y46" s="3"/>
      <c r="Z46" s="6"/>
      <c r="AA46" s="3"/>
      <c r="AB46" s="6"/>
      <c r="AC46" s="6"/>
      <c r="AD46" s="3"/>
      <c r="AE46" s="6"/>
      <c r="AF46" s="6"/>
      <c r="AG46" s="6"/>
      <c r="AH46" s="6"/>
      <c r="AI46" s="6"/>
      <c r="AJ46" s="6"/>
      <c r="AK46" s="6"/>
      <c r="AL46" s="6"/>
      <c r="AM46" s="6"/>
      <c r="AN46" s="6"/>
    </row>
    <row r="47" spans="1:40" ht="15.75">
      <c r="A47" s="194">
        <f t="shared" si="1"/>
        <v>39355</v>
      </c>
      <c r="B47" s="195">
        <f t="shared" si="0"/>
        <v>39355</v>
      </c>
      <c r="C47" s="196"/>
      <c r="D47" s="196"/>
      <c r="E47" s="23">
        <v>720</v>
      </c>
      <c r="F47" s="192"/>
      <c r="G47" s="192"/>
      <c r="H47" s="192"/>
      <c r="I47" s="193"/>
      <c r="L47" s="6"/>
      <c r="Y47" s="3"/>
      <c r="Z47" s="6"/>
      <c r="AA47" s="3"/>
      <c r="AB47" s="6"/>
      <c r="AC47" s="6"/>
      <c r="AD47" s="3"/>
      <c r="AE47" s="6"/>
      <c r="AF47" s="6"/>
      <c r="AG47" s="6"/>
      <c r="AH47" s="6"/>
      <c r="AI47" s="6"/>
      <c r="AJ47" s="6"/>
      <c r="AK47" s="6"/>
      <c r="AL47" s="6"/>
      <c r="AM47" s="6"/>
      <c r="AN47" s="6"/>
    </row>
    <row r="48" spans="1:40" ht="15.75">
      <c r="A48" s="194">
        <f t="shared" si="1"/>
        <v>39447</v>
      </c>
      <c r="B48" s="195">
        <f t="shared" si="0"/>
        <v>39447</v>
      </c>
      <c r="C48" s="196"/>
      <c r="D48" s="196"/>
      <c r="E48" s="23">
        <v>775.23</v>
      </c>
      <c r="F48" s="192"/>
      <c r="G48" s="192"/>
      <c r="H48" s="192"/>
      <c r="I48" s="193"/>
      <c r="L48" s="6"/>
      <c r="Y48" s="3"/>
      <c r="Z48" s="6"/>
      <c r="AA48" s="3"/>
      <c r="AB48" s="6"/>
      <c r="AC48" s="6"/>
      <c r="AD48" s="3"/>
      <c r="AE48" s="6"/>
      <c r="AF48" s="6"/>
      <c r="AG48" s="6"/>
      <c r="AH48" s="6"/>
      <c r="AI48" s="6"/>
      <c r="AJ48" s="6"/>
      <c r="AK48" s="6"/>
      <c r="AL48" s="6"/>
      <c r="AM48" s="6"/>
      <c r="AN48" s="6"/>
    </row>
    <row r="49" spans="1:40" ht="15.75">
      <c r="A49" s="194">
        <f t="shared" si="1"/>
        <v>39538</v>
      </c>
      <c r="B49" s="195">
        <f t="shared" si="0"/>
        <v>39538</v>
      </c>
      <c r="C49" s="196"/>
      <c r="D49" s="196"/>
      <c r="E49" s="23">
        <v>800</v>
      </c>
      <c r="F49" s="192"/>
      <c r="G49" s="192"/>
      <c r="H49" s="192"/>
      <c r="I49" s="193"/>
      <c r="L49" s="6"/>
      <c r="Y49" s="3"/>
      <c r="Z49" s="6"/>
      <c r="AA49" s="3"/>
      <c r="AB49" s="6"/>
      <c r="AC49" s="6"/>
      <c r="AD49" s="3"/>
      <c r="AE49" s="6"/>
      <c r="AF49" s="6"/>
      <c r="AG49" s="6"/>
      <c r="AH49" s="6"/>
      <c r="AI49" s="6"/>
      <c r="AJ49" s="6"/>
      <c r="AK49" s="6"/>
      <c r="AL49" s="6"/>
      <c r="AM49" s="6"/>
      <c r="AN49" s="6"/>
    </row>
    <row r="50" spans="1:40" ht="15.75">
      <c r="A50" s="194">
        <f t="shared" si="1"/>
        <v>39629</v>
      </c>
      <c r="B50" s="195">
        <f t="shared" si="0"/>
        <v>39629</v>
      </c>
      <c r="C50" s="196"/>
      <c r="D50" s="196"/>
      <c r="E50" s="23">
        <v>840.01</v>
      </c>
      <c r="F50" s="192"/>
      <c r="G50" s="192"/>
      <c r="H50" s="192"/>
      <c r="I50" s="193"/>
      <c r="L50" s="6"/>
      <c r="Y50" s="3"/>
      <c r="Z50" s="6"/>
      <c r="AA50" s="3"/>
      <c r="AB50" s="6"/>
      <c r="AC50" s="6"/>
      <c r="AD50" s="3"/>
      <c r="AE50" s="6"/>
      <c r="AF50" s="6"/>
      <c r="AG50" s="6"/>
      <c r="AH50" s="6"/>
      <c r="AI50" s="6"/>
      <c r="AJ50" s="6"/>
      <c r="AK50" s="6"/>
      <c r="AL50" s="6"/>
      <c r="AM50" s="6"/>
      <c r="AN50" s="6"/>
    </row>
    <row r="51" spans="1:40" ht="15.75">
      <c r="A51" s="194">
        <f t="shared" si="1"/>
        <v>39721</v>
      </c>
      <c r="B51" s="195">
        <f t="shared" si="0"/>
        <v>39721</v>
      </c>
      <c r="C51" s="196"/>
      <c r="D51" s="196"/>
      <c r="E51" s="23">
        <v>812.77</v>
      </c>
      <c r="F51" s="192"/>
      <c r="G51" s="192"/>
      <c r="H51" s="192"/>
      <c r="I51" s="193"/>
      <c r="L51" s="6"/>
      <c r="Y51" s="3"/>
      <c r="Z51" s="6"/>
      <c r="AA51" s="3"/>
      <c r="AB51" s="6"/>
      <c r="AC51" s="6"/>
      <c r="AD51" s="3"/>
      <c r="AE51" s="6"/>
      <c r="AF51" s="6"/>
      <c r="AG51" s="6"/>
      <c r="AH51" s="6"/>
      <c r="AI51" s="6"/>
      <c r="AJ51" s="6"/>
      <c r="AK51" s="6"/>
      <c r="AL51" s="6"/>
      <c r="AM51" s="6"/>
      <c r="AN51" s="6"/>
    </row>
    <row r="52" spans="1:40" ht="15.75">
      <c r="A52" s="194">
        <f t="shared" si="1"/>
        <v>39813</v>
      </c>
      <c r="B52" s="195">
        <f t="shared" si="0"/>
        <v>39813</v>
      </c>
      <c r="C52" s="196"/>
      <c r="D52" s="196"/>
      <c r="E52" s="23">
        <v>584.54</v>
      </c>
      <c r="F52" s="192"/>
      <c r="G52" s="192"/>
      <c r="H52" s="192"/>
      <c r="I52" s="193"/>
      <c r="L52" s="6"/>
      <c r="Y52" s="3"/>
      <c r="Z52" s="6"/>
      <c r="AA52" s="3"/>
      <c r="AB52" s="6"/>
      <c r="AC52" s="6"/>
      <c r="AD52" s="3"/>
      <c r="AE52" s="6"/>
      <c r="AF52" s="6"/>
      <c r="AG52" s="6"/>
      <c r="AH52" s="6"/>
      <c r="AI52" s="6"/>
      <c r="AJ52" s="6"/>
      <c r="AK52" s="6"/>
      <c r="AL52" s="6"/>
      <c r="AM52" s="6"/>
      <c r="AN52" s="6"/>
    </row>
    <row r="53" spans="1:40" ht="15.75">
      <c r="A53" s="194">
        <f t="shared" si="1"/>
        <v>39903</v>
      </c>
      <c r="B53" s="195">
        <f t="shared" si="0"/>
        <v>39903</v>
      </c>
      <c r="C53" s="196"/>
      <c r="D53" s="196"/>
      <c r="E53" s="23">
        <v>493.58</v>
      </c>
      <c r="F53" s="192"/>
      <c r="G53" s="192"/>
      <c r="H53" s="192"/>
      <c r="I53" s="193"/>
      <c r="L53" s="6"/>
      <c r="Y53" s="3"/>
      <c r="Z53" s="6"/>
      <c r="AA53" s="3"/>
      <c r="AB53" s="6"/>
      <c r="AC53" s="6"/>
      <c r="AD53" s="3"/>
      <c r="AE53" s="6"/>
      <c r="AF53" s="6"/>
      <c r="AG53" s="6"/>
      <c r="AH53" s="6"/>
      <c r="AI53" s="6"/>
      <c r="AJ53" s="6"/>
      <c r="AK53" s="6"/>
      <c r="AL53" s="6"/>
      <c r="AM53" s="6"/>
      <c r="AN53" s="6"/>
    </row>
    <row r="54" spans="1:40" ht="15.75">
      <c r="A54" s="194">
        <f t="shared" si="1"/>
        <v>39994</v>
      </c>
      <c r="B54" s="195">
        <f t="shared" si="0"/>
        <v>39994</v>
      </c>
      <c r="C54" s="196"/>
      <c r="D54" s="196"/>
      <c r="E54" s="23">
        <v>505.74</v>
      </c>
      <c r="F54" s="192"/>
      <c r="G54" s="192"/>
      <c r="H54" s="192"/>
      <c r="I54" s="193"/>
      <c r="L54" s="6"/>
      <c r="Y54" s="3"/>
      <c r="Z54" s="6"/>
      <c r="AA54" s="3"/>
      <c r="AB54" s="6"/>
      <c r="AC54" s="6"/>
      <c r="AD54" s="3"/>
      <c r="AE54" s="6"/>
      <c r="AF54" s="6"/>
      <c r="AG54" s="6"/>
      <c r="AH54" s="6"/>
      <c r="AI54" s="6"/>
      <c r="AJ54" s="6"/>
      <c r="AK54" s="6"/>
      <c r="AL54" s="6"/>
      <c r="AM54" s="6"/>
      <c r="AN54" s="6"/>
    </row>
    <row r="55" spans="1:40" ht="15.75">
      <c r="A55" s="194">
        <f t="shared" si="1"/>
        <v>40086</v>
      </c>
      <c r="B55" s="195">
        <f t="shared" si="0"/>
        <v>40086</v>
      </c>
      <c r="C55" s="196"/>
      <c r="D55" s="196"/>
      <c r="E55" s="23">
        <v>598.51</v>
      </c>
      <c r="F55" s="192"/>
      <c r="G55" s="192"/>
      <c r="H55" s="192"/>
      <c r="I55" s="193"/>
      <c r="L55" s="6"/>
      <c r="Y55" s="3"/>
      <c r="Z55" s="6"/>
      <c r="AA55" s="3"/>
      <c r="AB55" s="6"/>
      <c r="AC55" s="6"/>
      <c r="AD55" s="3"/>
      <c r="AE55" s="6"/>
      <c r="AF55" s="6"/>
      <c r="AG55" s="6"/>
      <c r="AH55" s="6"/>
      <c r="AI55" s="6"/>
      <c r="AJ55" s="6"/>
      <c r="AK55" s="6"/>
      <c r="AL55" s="6"/>
      <c r="AM55" s="6"/>
      <c r="AN55" s="6"/>
    </row>
    <row r="56" spans="1:40" ht="15.75">
      <c r="A56" s="194">
        <f t="shared" si="1"/>
        <v>40178</v>
      </c>
      <c r="B56" s="195">
        <f t="shared" si="0"/>
        <v>40178</v>
      </c>
      <c r="C56" s="196"/>
      <c r="D56" s="196"/>
      <c r="E56" s="23">
        <v>700</v>
      </c>
      <c r="F56" s="192"/>
      <c r="G56" s="192"/>
      <c r="H56" s="192"/>
      <c r="I56" s="193"/>
      <c r="L56" s="6"/>
      <c r="Y56" s="3"/>
      <c r="Z56" s="6"/>
      <c r="AA56" s="3"/>
      <c r="AB56" s="6"/>
      <c r="AC56" s="6"/>
      <c r="AD56" s="3"/>
      <c r="AE56" s="6"/>
      <c r="AF56" s="6"/>
      <c r="AG56" s="6"/>
      <c r="AH56" s="6"/>
      <c r="AI56" s="6"/>
      <c r="AJ56" s="6"/>
      <c r="AK56" s="6"/>
      <c r="AL56" s="6"/>
      <c r="AM56" s="6"/>
      <c r="AN56" s="6"/>
    </row>
    <row r="57" spans="1:40" ht="15.75">
      <c r="A57" s="194">
        <f t="shared" si="1"/>
        <v>40268</v>
      </c>
      <c r="B57" s="195">
        <f t="shared" si="0"/>
        <v>40268</v>
      </c>
      <c r="C57" s="196"/>
      <c r="D57" s="196"/>
      <c r="E57" s="23">
        <v>789.31</v>
      </c>
      <c r="F57" s="192"/>
      <c r="G57" s="192"/>
      <c r="H57" s="192"/>
      <c r="I57" s="193"/>
      <c r="L57" s="6"/>
      <c r="Y57" s="3"/>
      <c r="Z57" s="6"/>
      <c r="AA57" s="3"/>
      <c r="AB57" s="6"/>
      <c r="AC57" s="6"/>
      <c r="AD57" s="3"/>
      <c r="AE57" s="6"/>
      <c r="AF57" s="6"/>
      <c r="AG57" s="6"/>
      <c r="AH57" s="6"/>
      <c r="AI57" s="6"/>
      <c r="AJ57" s="6"/>
      <c r="AK57" s="6"/>
      <c r="AL57" s="6"/>
      <c r="AM57" s="6"/>
      <c r="AN57" s="6"/>
    </row>
    <row r="58" spans="1:40" ht="15.75">
      <c r="A58" s="194">
        <f t="shared" si="1"/>
        <v>40359</v>
      </c>
      <c r="B58" s="195">
        <f t="shared" si="0"/>
        <v>40359</v>
      </c>
      <c r="C58" s="196"/>
      <c r="D58" s="196"/>
      <c r="E58" s="23">
        <v>918.29</v>
      </c>
      <c r="F58" s="192"/>
      <c r="G58" s="192"/>
      <c r="H58" s="192"/>
      <c r="I58" s="193"/>
      <c r="L58" s="6"/>
      <c r="Y58" s="3"/>
      <c r="Z58" s="6"/>
      <c r="AA58" s="3"/>
      <c r="AB58" s="6"/>
      <c r="AC58" s="6"/>
      <c r="AD58" s="3"/>
      <c r="AE58" s="6"/>
      <c r="AF58" s="6"/>
      <c r="AG58" s="6"/>
      <c r="AH58" s="6"/>
      <c r="AI58" s="6"/>
      <c r="AJ58" s="6"/>
      <c r="AK58" s="6"/>
      <c r="AL58" s="6"/>
      <c r="AM58" s="6"/>
      <c r="AN58" s="6"/>
    </row>
    <row r="59" spans="1:40" ht="15.75">
      <c r="A59" s="194">
        <f t="shared" si="1"/>
        <v>40451</v>
      </c>
      <c r="B59" s="195">
        <f t="shared" si="0"/>
        <v>40451</v>
      </c>
      <c r="C59" s="196"/>
      <c r="D59" s="196"/>
      <c r="E59" s="23">
        <v>870</v>
      </c>
      <c r="F59" s="192"/>
      <c r="G59" s="192"/>
      <c r="H59" s="192"/>
      <c r="I59" s="193"/>
      <c r="L59" s="6"/>
      <c r="Y59" s="3"/>
      <c r="Z59" s="6"/>
      <c r="AA59" s="3"/>
      <c r="AB59" s="6"/>
      <c r="AC59" s="6"/>
      <c r="AD59" s="3"/>
      <c r="AE59" s="6"/>
      <c r="AF59" s="6"/>
      <c r="AG59" s="6"/>
      <c r="AH59" s="6"/>
      <c r="AI59" s="6"/>
      <c r="AJ59" s="6"/>
      <c r="AK59" s="6"/>
      <c r="AL59" s="6"/>
      <c r="AM59" s="6"/>
      <c r="AN59" s="6"/>
    </row>
    <row r="60" spans="1:40" ht="15.75">
      <c r="A60" s="194">
        <f t="shared" si="1"/>
        <v>40543</v>
      </c>
      <c r="B60" s="195">
        <f t="shared" si="0"/>
        <v>40543</v>
      </c>
      <c r="C60" s="196"/>
      <c r="D60" s="196"/>
      <c r="E60" s="23">
        <v>849.21</v>
      </c>
      <c r="F60" s="192"/>
      <c r="G60" s="192"/>
      <c r="H60" s="192"/>
      <c r="I60" s="193"/>
      <c r="L60" s="6"/>
      <c r="Y60" s="3"/>
      <c r="Z60" s="6"/>
      <c r="AA60" s="3"/>
      <c r="AB60" s="6"/>
      <c r="AC60" s="6"/>
      <c r="AD60" s="3"/>
      <c r="AE60" s="6"/>
      <c r="AF60" s="6"/>
      <c r="AG60" s="6"/>
      <c r="AH60" s="6"/>
      <c r="AI60" s="6"/>
      <c r="AJ60" s="6"/>
      <c r="AK60" s="6"/>
      <c r="AL60" s="6"/>
      <c r="AM60" s="6"/>
      <c r="AN60" s="6"/>
    </row>
    <row r="61" spans="1:40" ht="15.75">
      <c r="A61" s="194">
        <f t="shared" si="1"/>
        <v>40633</v>
      </c>
      <c r="B61" s="195">
        <f t="shared" si="0"/>
        <v>40633</v>
      </c>
      <c r="C61" s="196"/>
      <c r="D61" s="196"/>
      <c r="E61" s="23">
        <v>849.43</v>
      </c>
      <c r="F61" s="192"/>
      <c r="G61" s="192"/>
      <c r="H61" s="192"/>
      <c r="I61" s="193"/>
      <c r="L61" s="6"/>
      <c r="Y61" s="3"/>
      <c r="Z61" s="6"/>
      <c r="AA61" s="3"/>
      <c r="AB61" s="6"/>
      <c r="AC61" s="6"/>
      <c r="AD61" s="3"/>
      <c r="AE61" s="6"/>
      <c r="AF61" s="6"/>
      <c r="AG61" s="6"/>
      <c r="AH61" s="6"/>
      <c r="AI61" s="6"/>
      <c r="AJ61" s="6"/>
      <c r="AK61" s="6"/>
      <c r="AL61" s="6"/>
      <c r="AM61" s="6"/>
      <c r="AN61" s="6"/>
    </row>
    <row r="62" spans="1:40" ht="15.75">
      <c r="A62" s="194">
        <f t="shared" si="1"/>
        <v>40724</v>
      </c>
      <c r="B62" s="195">
        <f t="shared" si="0"/>
        <v>40724</v>
      </c>
      <c r="C62" s="196"/>
      <c r="D62" s="196"/>
      <c r="E62" s="23">
        <v>874.37</v>
      </c>
      <c r="F62" s="192"/>
      <c r="G62" s="192"/>
      <c r="H62" s="192"/>
      <c r="I62" s="193"/>
      <c r="L62" s="6"/>
      <c r="Y62" s="3"/>
      <c r="Z62" s="6"/>
      <c r="AA62" s="3"/>
      <c r="AB62" s="6"/>
      <c r="AC62" s="6"/>
      <c r="AD62" s="3"/>
      <c r="AE62" s="6"/>
      <c r="AF62" s="6"/>
      <c r="AG62" s="6"/>
      <c r="AH62" s="6"/>
      <c r="AI62" s="6"/>
      <c r="AJ62" s="6"/>
      <c r="AK62" s="6"/>
      <c r="AL62" s="6"/>
      <c r="AM62" s="6"/>
      <c r="AN62" s="6"/>
    </row>
    <row r="63" spans="1:40" ht="15.75">
      <c r="A63" s="194">
        <f t="shared" si="1"/>
        <v>40816</v>
      </c>
      <c r="B63" s="195">
        <f t="shared" si="0"/>
        <v>40816</v>
      </c>
      <c r="C63" s="196"/>
      <c r="D63" s="196"/>
      <c r="E63" s="23">
        <v>788.91</v>
      </c>
      <c r="F63" s="192"/>
      <c r="G63" s="192"/>
      <c r="H63" s="192"/>
      <c r="I63" s="193"/>
      <c r="L63" s="6"/>
      <c r="Y63" s="3"/>
      <c r="Z63" s="6"/>
      <c r="AA63" s="3"/>
      <c r="AB63" s="6"/>
      <c r="AC63" s="6"/>
      <c r="AD63" s="3"/>
      <c r="AE63" s="6"/>
      <c r="AF63" s="6"/>
      <c r="AG63" s="6"/>
      <c r="AH63" s="6"/>
      <c r="AI63" s="6"/>
      <c r="AJ63" s="6"/>
      <c r="AK63" s="6"/>
      <c r="AL63" s="6"/>
      <c r="AM63" s="6"/>
      <c r="AN63" s="6"/>
    </row>
    <row r="64" spans="1:40" ht="15.75">
      <c r="A64" s="194">
        <f t="shared" si="1"/>
        <v>40908</v>
      </c>
      <c r="B64" s="195">
        <f t="shared" si="0"/>
        <v>40908</v>
      </c>
      <c r="C64" s="196"/>
      <c r="D64" s="196"/>
      <c r="E64" s="23">
        <v>651.86</v>
      </c>
      <c r="F64" s="192"/>
      <c r="G64" s="192"/>
      <c r="H64" s="192"/>
      <c r="I64" s="193"/>
      <c r="L64" s="6"/>
      <c r="Y64" s="3"/>
      <c r="Z64" s="6"/>
      <c r="AA64" s="3"/>
      <c r="AB64" s="6"/>
      <c r="AC64" s="6"/>
      <c r="AD64" s="3"/>
      <c r="AE64" s="6"/>
      <c r="AF64" s="6"/>
      <c r="AG64" s="6"/>
      <c r="AH64" s="6"/>
      <c r="AI64" s="6"/>
      <c r="AJ64" s="6"/>
      <c r="AK64" s="6"/>
      <c r="AL64" s="6"/>
      <c r="AM64" s="6"/>
      <c r="AN64" s="6"/>
    </row>
    <row r="65" spans="1:54" ht="15.75">
      <c r="A65" s="194">
        <f t="shared" si="1"/>
        <v>40999</v>
      </c>
      <c r="B65" s="195">
        <f t="shared" si="0"/>
        <v>40999</v>
      </c>
      <c r="C65" s="196"/>
      <c r="D65" s="196"/>
      <c r="E65" s="23">
        <v>752.61</v>
      </c>
      <c r="F65" s="192"/>
      <c r="G65" s="192"/>
      <c r="H65" s="192"/>
      <c r="I65" s="193"/>
      <c r="L65" s="6"/>
      <c r="Y65" s="3"/>
      <c r="Z65" s="6"/>
      <c r="AA65" s="3"/>
      <c r="AB65" s="6"/>
      <c r="AC65" s="6"/>
      <c r="AD65" s="3"/>
      <c r="AE65" s="6"/>
      <c r="AF65" s="6"/>
      <c r="AG65" s="6"/>
      <c r="AH65" s="6"/>
      <c r="AI65" s="6"/>
      <c r="AJ65" s="6"/>
      <c r="AK65" s="6"/>
      <c r="AL65" s="6"/>
      <c r="AM65" s="6"/>
      <c r="AN65" s="6"/>
    </row>
    <row r="66" spans="1:54" ht="15.75">
      <c r="A66" s="194">
        <f t="shared" si="1"/>
        <v>41090</v>
      </c>
      <c r="B66" s="195">
        <f t="shared" si="0"/>
        <v>41090</v>
      </c>
      <c r="C66" s="196"/>
      <c r="D66" s="196"/>
      <c r="E66" s="23">
        <v>784.38</v>
      </c>
      <c r="F66" s="192"/>
      <c r="G66" s="192"/>
      <c r="H66" s="192"/>
      <c r="I66" s="193"/>
      <c r="L66" s="6"/>
      <c r="Y66" s="3"/>
      <c r="Z66" s="6"/>
      <c r="AA66" s="3"/>
      <c r="AB66" s="6"/>
      <c r="AC66" s="6"/>
      <c r="AD66" s="3"/>
      <c r="AE66" s="6"/>
      <c r="AF66" s="6"/>
      <c r="AG66" s="6"/>
      <c r="AH66" s="6"/>
      <c r="AI66" s="6"/>
      <c r="AJ66" s="6"/>
      <c r="AK66" s="6"/>
      <c r="AL66" s="6"/>
      <c r="AM66" s="6"/>
      <c r="AN66" s="6"/>
    </row>
    <row r="67" spans="1:54" ht="15.75">
      <c r="A67" s="7">
        <f t="shared" si="1"/>
        <v>41182</v>
      </c>
      <c r="B67" s="190">
        <f t="shared" si="0"/>
        <v>41182</v>
      </c>
      <c r="C67" s="192"/>
      <c r="D67" s="192"/>
      <c r="E67" s="8">
        <v>751.54</v>
      </c>
      <c r="F67" s="192"/>
      <c r="G67" s="192"/>
      <c r="H67" s="192"/>
      <c r="I67" s="193"/>
      <c r="L67" s="6"/>
      <c r="Y67" s="3"/>
      <c r="Z67" s="6"/>
      <c r="AA67" s="3"/>
      <c r="AB67" s="6"/>
      <c r="AC67" s="6"/>
      <c r="AD67" s="3"/>
      <c r="AE67" s="6"/>
      <c r="AF67" s="6"/>
      <c r="AG67" s="6"/>
      <c r="AH67" s="6"/>
      <c r="AI67" s="6"/>
      <c r="AJ67" s="6"/>
      <c r="AK67" s="6"/>
      <c r="AL67" s="6"/>
      <c r="AM67" s="6"/>
      <c r="AN67" s="6"/>
    </row>
    <row r="68" spans="1:54" ht="15.75">
      <c r="A68" s="7">
        <f t="shared" si="1"/>
        <v>41274</v>
      </c>
      <c r="B68" s="190">
        <f t="shared" si="0"/>
        <v>41274</v>
      </c>
      <c r="C68" s="192"/>
      <c r="D68" s="192"/>
      <c r="E68" s="8">
        <v>775.94</v>
      </c>
      <c r="F68" s="192"/>
      <c r="G68" s="192"/>
      <c r="H68" s="192"/>
      <c r="I68" s="193"/>
      <c r="L68" s="6"/>
      <c r="Y68" s="3"/>
      <c r="Z68" s="6"/>
      <c r="AA68" s="3"/>
      <c r="AB68" s="6"/>
      <c r="AC68" s="6"/>
      <c r="AD68" s="3"/>
      <c r="AE68" s="6"/>
      <c r="AF68" s="6"/>
      <c r="AG68" s="6"/>
      <c r="AH68" s="6"/>
      <c r="AI68" s="6"/>
      <c r="AJ68" s="6"/>
      <c r="AK68" s="6"/>
      <c r="AL68" s="6"/>
      <c r="AM68" s="6"/>
      <c r="AN68" s="6"/>
    </row>
    <row r="69" spans="1:54" ht="15.75">
      <c r="A69" s="33">
        <f>+'[1] FOEX px'!AJ17</f>
        <v>41364</v>
      </c>
      <c r="B69" s="190">
        <f>+A69</f>
        <v>41364</v>
      </c>
      <c r="C69" s="147">
        <f>+'[1] FOEX px'!AL17</f>
        <v>661.33833333333325</v>
      </c>
      <c r="D69" s="147">
        <f>+'[1] FOEX px'!AM17</f>
        <v>665.94416666666666</v>
      </c>
      <c r="E69" s="147">
        <f>+'[1] FOEX px'!AN17</f>
        <v>787.6825</v>
      </c>
      <c r="F69" s="147">
        <f>+'[1] FOEX px'!AO17</f>
        <v>822.49416666666684</v>
      </c>
      <c r="G69" s="83">
        <f>+C69-E69</f>
        <v>-126.34416666666675</v>
      </c>
      <c r="H69" s="83">
        <f>D69-C69</f>
        <v>4.6058333333334076</v>
      </c>
      <c r="I69" s="142">
        <f>+F69-E69</f>
        <v>34.811666666666838</v>
      </c>
      <c r="L69" s="8"/>
      <c r="N69" s="15"/>
      <c r="O69" s="15"/>
      <c r="Y69" s="33"/>
      <c r="Z69" s="8"/>
      <c r="AA69" s="33"/>
      <c r="AB69" s="8"/>
      <c r="AC69" s="8"/>
      <c r="AD69" s="33"/>
      <c r="AE69" s="8"/>
      <c r="AF69" s="8"/>
      <c r="AG69" s="5"/>
      <c r="AH69" s="8"/>
      <c r="AI69" s="8"/>
      <c r="AJ69" s="8"/>
      <c r="AK69" s="8"/>
      <c r="AL69" s="8"/>
      <c r="AM69" s="8"/>
      <c r="AN69" s="8"/>
      <c r="AO69" s="15"/>
    </row>
    <row r="70" spans="1:54" ht="15.75">
      <c r="A70" s="33">
        <f>+'[1] FOEX px'!AJ18</f>
        <v>41455</v>
      </c>
      <c r="B70" s="190">
        <f t="shared" ref="B70:B128" si="2">+A70</f>
        <v>41455</v>
      </c>
      <c r="C70" s="147">
        <f>+'[1] FOEX px'!AL18</f>
        <v>695.39666666666665</v>
      </c>
      <c r="D70" s="147">
        <f>+'[1] FOEX px'!AM18</f>
        <v>694.12888888888892</v>
      </c>
      <c r="E70" s="147">
        <f>+'[1] FOEX px'!AN18</f>
        <v>810.80222222222221</v>
      </c>
      <c r="F70" s="147">
        <f>+'[1] FOEX px'!AO18</f>
        <v>847.41666666666663</v>
      </c>
      <c r="G70" s="83">
        <f t="shared" ref="G70:G101" si="3">+C70-E70</f>
        <v>-115.40555555555557</v>
      </c>
      <c r="H70" s="83">
        <f t="shared" ref="H70:H101" si="4">D70-C70</f>
        <v>-1.2677777777777237</v>
      </c>
      <c r="I70" s="142">
        <f t="shared" ref="I70:I101" si="5">+F70-E70</f>
        <v>36.614444444444416</v>
      </c>
      <c r="J70" s="8"/>
      <c r="K70" s="8"/>
      <c r="L70" s="8"/>
      <c r="N70" s="15"/>
      <c r="O70" s="15"/>
      <c r="Y70" s="33"/>
      <c r="Z70" s="8"/>
      <c r="AA70" s="33"/>
      <c r="AB70" s="8"/>
      <c r="AC70" s="8"/>
      <c r="AD70" s="33"/>
      <c r="AE70" s="8"/>
      <c r="AF70" s="8"/>
      <c r="AG70" s="5"/>
      <c r="AH70" s="5"/>
      <c r="AI70" s="5"/>
      <c r="AJ70" s="8"/>
      <c r="AK70" s="8"/>
      <c r="AL70" s="8"/>
      <c r="AM70" s="8"/>
      <c r="AN70" s="8"/>
      <c r="AO70" s="15"/>
    </row>
    <row r="71" spans="1:54" ht="15.75">
      <c r="A71" s="33">
        <f>+'[1] FOEX px'!AJ19</f>
        <v>41547</v>
      </c>
      <c r="B71" s="190">
        <f t="shared" si="2"/>
        <v>41547</v>
      </c>
      <c r="C71" s="147">
        <f>+'[1] FOEX px'!AL19</f>
        <v>674.4153846153846</v>
      </c>
      <c r="D71" s="147">
        <f>+'[1] FOEX px'!AM19</f>
        <v>681.51384615384609</v>
      </c>
      <c r="E71" s="147">
        <f>+'[1] FOEX px'!AN19</f>
        <v>794.79076923076911</v>
      </c>
      <c r="F71" s="147">
        <f>+'[1] FOEX px'!AO19</f>
        <v>860.77076923076925</v>
      </c>
      <c r="G71" s="83">
        <f t="shared" si="3"/>
        <v>-120.37538461538452</v>
      </c>
      <c r="H71" s="83">
        <f t="shared" si="4"/>
        <v>7.0984615384614926</v>
      </c>
      <c r="I71" s="142">
        <f t="shared" si="5"/>
        <v>65.980000000000132</v>
      </c>
      <c r="J71" s="8"/>
      <c r="K71" s="8"/>
      <c r="L71" s="8"/>
      <c r="N71" s="15"/>
      <c r="O71" s="15"/>
      <c r="Y71" s="33"/>
      <c r="Z71" s="8"/>
      <c r="AA71" s="33"/>
      <c r="AB71" s="8"/>
      <c r="AC71" s="8"/>
      <c r="AD71" s="33"/>
      <c r="AE71" s="8"/>
      <c r="AF71" s="8"/>
      <c r="AG71" s="8"/>
      <c r="AH71" s="8"/>
      <c r="AI71" s="8"/>
      <c r="AJ71" s="8"/>
      <c r="AK71" s="8"/>
      <c r="AL71" s="8"/>
      <c r="AM71" s="8"/>
      <c r="AN71" s="8"/>
      <c r="AO71" s="15"/>
    </row>
    <row r="72" spans="1:54" ht="15.75">
      <c r="A72" s="33">
        <f>+'[1] FOEX px'!AJ20</f>
        <v>41639</v>
      </c>
      <c r="B72" s="190">
        <f t="shared" si="2"/>
        <v>41639</v>
      </c>
      <c r="C72" s="147">
        <f>+'[1] FOEX px'!AL20</f>
        <v>658.42230769230753</v>
      </c>
      <c r="D72" s="147">
        <f>+'[1] FOEX px'!AM20</f>
        <v>723.02692307692314</v>
      </c>
      <c r="E72" s="147">
        <f>+'[1] FOEX px'!AN20</f>
        <v>770.21846153846138</v>
      </c>
      <c r="F72" s="147">
        <f>+'[1] FOEX px'!AO20</f>
        <v>892.7461538461539</v>
      </c>
      <c r="G72" s="83">
        <f t="shared" si="3"/>
        <v>-111.79615384615386</v>
      </c>
      <c r="H72" s="83">
        <f t="shared" si="4"/>
        <v>64.604615384615613</v>
      </c>
      <c r="I72" s="142">
        <f t="shared" si="5"/>
        <v>122.52769230769252</v>
      </c>
      <c r="J72" s="8"/>
      <c r="K72" s="8"/>
      <c r="L72" s="8"/>
      <c r="N72" s="15"/>
      <c r="O72" s="15"/>
      <c r="Y72" s="33"/>
      <c r="Z72" s="8"/>
      <c r="AA72" s="33"/>
      <c r="AB72" s="8"/>
      <c r="AC72" s="8"/>
      <c r="AD72" s="33"/>
      <c r="AE72" s="8"/>
      <c r="AF72" s="8"/>
      <c r="AG72" s="8"/>
      <c r="AH72" s="8"/>
      <c r="AI72" s="8"/>
      <c r="AJ72" s="8"/>
      <c r="AK72" s="8"/>
      <c r="AL72" s="8"/>
      <c r="AM72" s="8"/>
      <c r="AN72" s="8"/>
      <c r="AO72" s="15"/>
    </row>
    <row r="73" spans="1:54" ht="15.75">
      <c r="A73" s="33">
        <f>+'[1] FOEX px'!AJ21</f>
        <v>41729</v>
      </c>
      <c r="B73" s="190">
        <f t="shared" si="2"/>
        <v>41729</v>
      </c>
      <c r="C73" s="147">
        <f>+'[1] FOEX px'!AL21</f>
        <v>651.48333333333323</v>
      </c>
      <c r="D73" s="147">
        <f>+'[1] FOEX px'!AM21</f>
        <v>750.4908333333334</v>
      </c>
      <c r="E73" s="147">
        <f>+'[1] FOEX px'!AN21</f>
        <v>767.875</v>
      </c>
      <c r="F73" s="147">
        <f>+'[1] FOEX px'!AO21</f>
        <v>915.58416666666653</v>
      </c>
      <c r="G73" s="83">
        <f t="shared" si="3"/>
        <v>-116.39166666666677</v>
      </c>
      <c r="H73" s="83">
        <f t="shared" si="4"/>
        <v>99.007500000000164</v>
      </c>
      <c r="I73" s="142">
        <f t="shared" si="5"/>
        <v>147.70916666666653</v>
      </c>
      <c r="J73" s="8">
        <f>+YEAR(A73)</f>
        <v>2014</v>
      </c>
      <c r="K73" s="405">
        <f t="shared" ref="K73:K104" si="6">+B73</f>
        <v>41729</v>
      </c>
      <c r="L73" s="8">
        <f>+'[2]CERV VALOR'!AG9</f>
        <v>107.91718750000003</v>
      </c>
      <c r="N73" s="15">
        <v>2014</v>
      </c>
      <c r="O73" s="15">
        <f ca="1">+SUMIF(J73:L128,N73,L73:L128)/4</f>
        <v>99.485636618589751</v>
      </c>
      <c r="Y73" s="33"/>
      <c r="Z73" s="8"/>
      <c r="AA73" s="33"/>
      <c r="AB73" s="8"/>
      <c r="AC73" s="8"/>
      <c r="AD73" s="33"/>
      <c r="AE73" s="8"/>
      <c r="AF73" s="8"/>
      <c r="AG73" s="8"/>
      <c r="AH73" s="8"/>
      <c r="AI73" s="8"/>
      <c r="AJ73" s="8"/>
      <c r="AK73" s="8"/>
      <c r="AL73" s="8"/>
      <c r="AM73" s="8"/>
      <c r="AN73" s="8"/>
      <c r="AO73" s="15"/>
    </row>
    <row r="74" spans="1:54" ht="15.75">
      <c r="A74" s="33">
        <f>+'[1] FOEX px'!AJ22</f>
        <v>41820</v>
      </c>
      <c r="B74" s="190">
        <f t="shared" si="2"/>
        <v>41820</v>
      </c>
      <c r="C74" s="147">
        <f>+'[1] FOEX px'!AL22</f>
        <v>603.255</v>
      </c>
      <c r="D74" s="147">
        <f>+'[1] FOEX px'!AM22</f>
        <v>736.45583333333332</v>
      </c>
      <c r="E74" s="147">
        <f>+'[1] FOEX px'!AN22</f>
        <v>751.04416666666668</v>
      </c>
      <c r="F74" s="147">
        <f>+'[1] FOEX px'!AO22</f>
        <v>924.41166666666652</v>
      </c>
      <c r="G74" s="83">
        <f t="shared" si="3"/>
        <v>-147.78916666666669</v>
      </c>
      <c r="H74" s="83">
        <f t="shared" si="4"/>
        <v>133.20083333333332</v>
      </c>
      <c r="I74" s="142">
        <f t="shared" si="5"/>
        <v>173.36749999999984</v>
      </c>
      <c r="J74" s="8">
        <f t="shared" ref="J74:J128" si="7">+YEAR(A74)</f>
        <v>2014</v>
      </c>
      <c r="K74" s="405">
        <f t="shared" si="6"/>
        <v>41820</v>
      </c>
      <c r="L74" s="8">
        <f>+'[2]CERV VALOR'!AG10</f>
        <v>109.7536923076923</v>
      </c>
      <c r="N74" s="15">
        <f>+N73+1</f>
        <v>2015</v>
      </c>
      <c r="O74" s="15">
        <f t="shared" ref="O74:O83" ca="1" si="8">+SUMIF(J74:L129,N74,L74:L129)/4</f>
        <v>53.606889714452215</v>
      </c>
      <c r="Y74" s="33"/>
      <c r="Z74" s="8"/>
      <c r="AA74" s="33"/>
      <c r="AB74" s="8"/>
      <c r="AC74" s="8"/>
      <c r="AD74" s="33"/>
      <c r="AE74" s="8"/>
      <c r="AF74" s="8"/>
      <c r="AG74" s="8"/>
      <c r="AH74" s="8"/>
      <c r="AI74" s="8"/>
      <c r="AJ74" s="8"/>
      <c r="AK74" s="8"/>
      <c r="AL74" s="8"/>
      <c r="AM74" s="8"/>
      <c r="AN74" s="8"/>
      <c r="AO74" s="15"/>
    </row>
    <row r="75" spans="1:54" ht="15.75">
      <c r="A75" s="33">
        <f>+'[1] FOEX px'!AJ23</f>
        <v>41912</v>
      </c>
      <c r="B75" s="190">
        <f t="shared" si="2"/>
        <v>41912</v>
      </c>
      <c r="C75" s="147">
        <f>+'[1] FOEX px'!AL23</f>
        <v>585.64857142857124</v>
      </c>
      <c r="D75" s="147">
        <f>+'[1] FOEX px'!AM23</f>
        <v>724.1049999999999</v>
      </c>
      <c r="E75" s="147">
        <f>+'[1] FOEX px'!AN23</f>
        <v>728.93214285714294</v>
      </c>
      <c r="F75" s="147">
        <f>+'[1] FOEX px'!AO23</f>
        <v>928.88714285714286</v>
      </c>
      <c r="G75" s="83">
        <f t="shared" si="3"/>
        <v>-143.28357142857169</v>
      </c>
      <c r="H75" s="83">
        <f t="shared" si="4"/>
        <v>138.45642857142866</v>
      </c>
      <c r="I75" s="142">
        <f t="shared" si="5"/>
        <v>199.95499999999993</v>
      </c>
      <c r="J75" s="8">
        <f t="shared" si="7"/>
        <v>2014</v>
      </c>
      <c r="K75" s="405">
        <f t="shared" si="6"/>
        <v>41912</v>
      </c>
      <c r="L75" s="8">
        <f>+'[2]CERV VALOR'!AG11</f>
        <v>103.45621212121213</v>
      </c>
      <c r="N75" s="15">
        <f t="shared" ref="N75:N83" si="9">+N74+1</f>
        <v>2016</v>
      </c>
      <c r="O75" s="15">
        <f t="shared" ca="1" si="8"/>
        <v>45.115009324009314</v>
      </c>
      <c r="Y75" s="33"/>
      <c r="Z75" s="8"/>
      <c r="AA75" s="33"/>
      <c r="AB75" s="8"/>
      <c r="AC75" s="8"/>
      <c r="AD75" s="33"/>
      <c r="AE75" s="8"/>
      <c r="AF75" s="8"/>
      <c r="AG75" s="8"/>
      <c r="AH75" s="8"/>
      <c r="AI75" s="8"/>
      <c r="AJ75" s="8"/>
      <c r="AK75" s="8"/>
      <c r="AL75" s="8"/>
      <c r="AM75" s="8"/>
      <c r="AN75" s="8"/>
      <c r="AO75" s="15"/>
      <c r="BA75" s="85"/>
    </row>
    <row r="76" spans="1:54" ht="15.75">
      <c r="A76" s="33">
        <f>+'[1] FOEX px'!AJ24</f>
        <v>42004</v>
      </c>
      <c r="B76" s="190">
        <f t="shared" si="2"/>
        <v>42004</v>
      </c>
      <c r="C76" s="147">
        <f>+'[1] FOEX px'!AL24</f>
        <v>598.77461538461534</v>
      </c>
      <c r="D76" s="147">
        <f>+'[1] FOEX px'!AM24</f>
        <v>719.22769230769222</v>
      </c>
      <c r="E76" s="147">
        <f>+'[1] FOEX px'!AN24</f>
        <v>735.19384615384615</v>
      </c>
      <c r="F76" s="147">
        <f>+'[1] FOEX px'!AO24</f>
        <v>932.33076923076908</v>
      </c>
      <c r="G76" s="83">
        <f t="shared" si="3"/>
        <v>-136.41923076923081</v>
      </c>
      <c r="H76" s="83">
        <f t="shared" si="4"/>
        <v>120.45307692307688</v>
      </c>
      <c r="I76" s="142">
        <f t="shared" si="5"/>
        <v>197.13692307692293</v>
      </c>
      <c r="J76" s="8">
        <f t="shared" si="7"/>
        <v>2014</v>
      </c>
      <c r="K76" s="405">
        <f t="shared" si="6"/>
        <v>42004</v>
      </c>
      <c r="L76" s="8">
        <f>+'[2]CERV VALOR'!AG12</f>
        <v>76.815454545454543</v>
      </c>
      <c r="N76" s="15">
        <f t="shared" si="9"/>
        <v>2017</v>
      </c>
      <c r="O76" s="15">
        <f t="shared" ca="1" si="8"/>
        <v>54.790423076923069</v>
      </c>
      <c r="Y76" s="33"/>
      <c r="Z76" s="8"/>
      <c r="AA76" s="33"/>
      <c r="AB76" s="8"/>
      <c r="AC76" s="8"/>
      <c r="AD76" s="33"/>
      <c r="AE76" s="8"/>
      <c r="AF76" s="8"/>
      <c r="AG76" s="8"/>
      <c r="AH76" s="8"/>
      <c r="AI76" s="8"/>
      <c r="AJ76" s="8"/>
      <c r="AK76" s="8"/>
      <c r="AL76" s="8"/>
      <c r="AM76" s="8"/>
      <c r="AN76" s="8"/>
      <c r="AO76" s="15"/>
      <c r="BA76" s="85"/>
      <c r="BB76" s="82"/>
    </row>
    <row r="77" spans="1:54" ht="15.75">
      <c r="A77" s="33">
        <f>+'[1] FOEX px'!AJ25</f>
        <v>42094</v>
      </c>
      <c r="B77" s="190">
        <f t="shared" si="2"/>
        <v>42094</v>
      </c>
      <c r="C77" s="147">
        <f>+'[1] FOEX px'!AL25</f>
        <v>622.31153846153836</v>
      </c>
      <c r="D77" s="147">
        <f>+'[1] FOEX px'!AM25</f>
        <v>682.24615384615379</v>
      </c>
      <c r="E77" s="147">
        <f>+'[1] FOEX px'!AN25</f>
        <v>749.74692307692305</v>
      </c>
      <c r="F77" s="147">
        <f>+'[1] FOEX px'!AO25</f>
        <v>905.10307692307697</v>
      </c>
      <c r="G77" s="83">
        <f t="shared" si="3"/>
        <v>-127.43538461538469</v>
      </c>
      <c r="H77" s="83">
        <f t="shared" si="4"/>
        <v>59.934615384615427</v>
      </c>
      <c r="I77" s="142">
        <f t="shared" si="5"/>
        <v>155.35615384615392</v>
      </c>
      <c r="J77" s="8">
        <f t="shared" si="7"/>
        <v>2015</v>
      </c>
      <c r="K77" s="405">
        <f t="shared" si="6"/>
        <v>42094</v>
      </c>
      <c r="L77" s="8">
        <f>+'[2]CERV VALOR'!AG13</f>
        <v>55.168750000000017</v>
      </c>
      <c r="N77" s="15">
        <f t="shared" si="9"/>
        <v>2018</v>
      </c>
      <c r="O77" s="15">
        <f t="shared" ca="1" si="8"/>
        <v>71.600026806526813</v>
      </c>
      <c r="Y77" s="33"/>
      <c r="Z77" s="8"/>
      <c r="AA77" s="33"/>
      <c r="AB77" s="8"/>
      <c r="AC77" s="8"/>
      <c r="AD77" s="33"/>
      <c r="AE77" s="8"/>
      <c r="AF77" s="8"/>
      <c r="AG77" s="5"/>
      <c r="AH77" s="5"/>
      <c r="AI77" s="5"/>
      <c r="AJ77" s="5"/>
      <c r="AK77" s="8"/>
      <c r="AL77" s="8"/>
      <c r="AM77" s="8"/>
      <c r="AN77" s="8"/>
      <c r="AO77" s="15"/>
      <c r="BA77" s="85"/>
      <c r="BB77" s="82"/>
    </row>
    <row r="78" spans="1:54" ht="15.75">
      <c r="A78" s="33">
        <f>+'[1] FOEX px'!AJ26</f>
        <v>42185</v>
      </c>
      <c r="B78" s="190">
        <f t="shared" si="2"/>
        <v>42185</v>
      </c>
      <c r="C78" s="147">
        <f>+'[1] FOEX px'!AL26</f>
        <v>653.56846153846163</v>
      </c>
      <c r="D78" s="147">
        <f>+'[1] FOEX px'!AM26</f>
        <v>665.66</v>
      </c>
      <c r="E78" s="147">
        <f>+'[1] FOEX px'!AN26</f>
        <v>781.47538461538466</v>
      </c>
      <c r="F78" s="147">
        <f>+'[1] FOEX px'!AO26</f>
        <v>854.61384615384623</v>
      </c>
      <c r="G78" s="83">
        <f t="shared" si="3"/>
        <v>-127.90692307692302</v>
      </c>
      <c r="H78" s="83">
        <f t="shared" si="4"/>
        <v>12.091538461538335</v>
      </c>
      <c r="I78" s="142">
        <f t="shared" si="5"/>
        <v>73.13846153846157</v>
      </c>
      <c r="J78" s="8">
        <f t="shared" si="7"/>
        <v>2015</v>
      </c>
      <c r="K78" s="405">
        <f t="shared" si="6"/>
        <v>42185</v>
      </c>
      <c r="L78" s="8">
        <f>+'[2]CERV VALOR'!AG14</f>
        <v>63.371384615384621</v>
      </c>
      <c r="N78" s="15">
        <f t="shared" si="9"/>
        <v>2019</v>
      </c>
      <c r="O78" s="15">
        <f t="shared" ca="1" si="8"/>
        <v>64.179488545308843</v>
      </c>
      <c r="Y78" s="33"/>
      <c r="Z78" s="8"/>
      <c r="AA78" s="33"/>
      <c r="AB78" s="8"/>
      <c r="AC78" s="8"/>
      <c r="AD78" s="33"/>
      <c r="AE78" s="8"/>
      <c r="AF78" s="8"/>
      <c r="AG78" s="8"/>
      <c r="AH78" s="8"/>
      <c r="AI78" s="8"/>
      <c r="AJ78" s="8"/>
      <c r="AK78" s="8"/>
      <c r="AL78" s="8"/>
      <c r="AM78" s="8"/>
      <c r="AN78" s="8"/>
      <c r="AO78" s="15"/>
      <c r="BA78" s="85"/>
      <c r="BB78" s="82"/>
    </row>
    <row r="79" spans="1:54" ht="15.75">
      <c r="A79" s="33">
        <f>+'[1] FOEX px'!AJ27</f>
        <v>42277</v>
      </c>
      <c r="B79" s="190">
        <f t="shared" si="2"/>
        <v>42277</v>
      </c>
      <c r="C79" s="147">
        <f>+'[1] FOEX px'!AL27</f>
        <v>662.19214285714293</v>
      </c>
      <c r="D79" s="147">
        <f>+'[1] FOEX px'!AM27</f>
        <v>649.11357142857139</v>
      </c>
      <c r="E79" s="147">
        <f>+'[1] FOEX px'!AN27</f>
        <v>804.7007142857143</v>
      </c>
      <c r="F79" s="147">
        <f>+'[1] FOEX px'!AO27</f>
        <v>844.38142857142861</v>
      </c>
      <c r="G79" s="83">
        <f t="shared" si="3"/>
        <v>-142.50857142857137</v>
      </c>
      <c r="H79" s="83">
        <f t="shared" si="4"/>
        <v>-13.078571428571536</v>
      </c>
      <c r="I79" s="142">
        <f t="shared" si="5"/>
        <v>39.680714285714316</v>
      </c>
      <c r="J79" s="8">
        <f t="shared" si="7"/>
        <v>2015</v>
      </c>
      <c r="K79" s="405">
        <f t="shared" si="6"/>
        <v>42277</v>
      </c>
      <c r="L79" s="8">
        <f>+'[2]CERV VALOR'!AG15</f>
        <v>51.299545454545445</v>
      </c>
      <c r="N79" s="15">
        <f t="shared" si="9"/>
        <v>2020</v>
      </c>
      <c r="O79" s="15">
        <f t="shared" ca="1" si="8"/>
        <v>43.277053030303037</v>
      </c>
      <c r="Y79" s="33"/>
      <c r="Z79" s="8"/>
      <c r="AA79" s="33"/>
      <c r="AB79" s="8"/>
      <c r="AC79" s="8"/>
      <c r="AD79" s="33"/>
      <c r="AE79" s="8"/>
      <c r="AF79" s="8"/>
      <c r="AG79" s="8"/>
      <c r="AH79" s="8"/>
      <c r="AI79" s="8"/>
      <c r="AJ79" s="8"/>
      <c r="AK79" s="8"/>
      <c r="AL79" s="8"/>
      <c r="AM79" s="8"/>
      <c r="AN79" s="8"/>
      <c r="AO79" s="15"/>
      <c r="BA79" s="85"/>
      <c r="BB79" s="82"/>
    </row>
    <row r="80" spans="1:54" ht="15.75">
      <c r="A80" s="33">
        <f>+'[1] FOEX px'!AJ28</f>
        <v>42369</v>
      </c>
      <c r="B80" s="190">
        <f t="shared" si="2"/>
        <v>42369</v>
      </c>
      <c r="C80" s="147">
        <f>+'[1] FOEX px'!AL28</f>
        <v>621.68166666666673</v>
      </c>
      <c r="D80" s="147">
        <f>+'[1] FOEX px'!AM28</f>
        <v>614.34499999999991</v>
      </c>
      <c r="E80" s="147">
        <f>+'[1] FOEX px'!AN28</f>
        <v>801.59916666666675</v>
      </c>
      <c r="F80" s="147">
        <f>+'[1] FOEX px'!AO28</f>
        <v>818.01333333333332</v>
      </c>
      <c r="G80" s="83">
        <f t="shared" si="3"/>
        <v>-179.91750000000002</v>
      </c>
      <c r="H80" s="83">
        <f t="shared" si="4"/>
        <v>-7.3366666666668152</v>
      </c>
      <c r="I80" s="142">
        <f t="shared" si="5"/>
        <v>16.414166666666574</v>
      </c>
      <c r="J80" s="8">
        <f t="shared" si="7"/>
        <v>2015</v>
      </c>
      <c r="K80" s="405">
        <f t="shared" si="6"/>
        <v>42369</v>
      </c>
      <c r="L80" s="8">
        <f>+'[2]CERV VALOR'!AG16</f>
        <v>44.587878787878793</v>
      </c>
      <c r="N80" s="15">
        <f t="shared" si="9"/>
        <v>2021</v>
      </c>
      <c r="O80" s="15">
        <f t="shared" ca="1" si="8"/>
        <v>70.770806763548961</v>
      </c>
      <c r="Y80" s="33"/>
      <c r="Z80" s="8"/>
      <c r="AA80" s="33"/>
      <c r="AB80" s="8"/>
      <c r="AC80" s="8"/>
      <c r="AD80" s="33"/>
      <c r="AE80" s="8"/>
      <c r="AF80" s="8"/>
      <c r="AG80" s="8"/>
      <c r="AH80" s="8"/>
      <c r="AI80" s="8"/>
      <c r="AJ80" s="8"/>
      <c r="AK80" s="8"/>
      <c r="AL80" s="8"/>
      <c r="AM80" s="8"/>
      <c r="AN80" s="8"/>
      <c r="AO80" s="15"/>
      <c r="BA80" s="85"/>
      <c r="BB80" s="82"/>
    </row>
    <row r="81" spans="1:54" ht="15.75">
      <c r="A81" s="33">
        <f>+'[1] FOEX px'!AJ29</f>
        <v>42460</v>
      </c>
      <c r="B81" s="190">
        <f t="shared" si="2"/>
        <v>42460</v>
      </c>
      <c r="C81" s="147">
        <f>+'[1] FOEX px'!AL29</f>
        <v>553.69384615384615</v>
      </c>
      <c r="D81" s="147">
        <f>+'[1] FOEX px'!AM29</f>
        <v>593.69692307692299</v>
      </c>
      <c r="E81" s="147">
        <f>+'[1] FOEX px'!AN29</f>
        <v>762.4307692307691</v>
      </c>
      <c r="F81" s="147">
        <f>+'[1] FOEX px'!AO29</f>
        <v>791.78307692307692</v>
      </c>
      <c r="G81" s="83">
        <f t="shared" si="3"/>
        <v>-208.73692307692295</v>
      </c>
      <c r="H81" s="83">
        <f t="shared" si="4"/>
        <v>40.003076923076833</v>
      </c>
      <c r="I81" s="142">
        <f t="shared" si="5"/>
        <v>29.352307692307818</v>
      </c>
      <c r="J81" s="8">
        <f t="shared" si="7"/>
        <v>2016</v>
      </c>
      <c r="K81" s="405">
        <f t="shared" si="6"/>
        <v>42460</v>
      </c>
      <c r="L81" s="8">
        <f>+'[2]CERV VALOR'!AG17</f>
        <v>35.318153846153841</v>
      </c>
      <c r="N81" s="15">
        <f t="shared" si="9"/>
        <v>2022</v>
      </c>
      <c r="O81" s="15">
        <f t="shared" ca="1" si="8"/>
        <v>95.818032388663994</v>
      </c>
      <c r="Y81" s="33"/>
      <c r="Z81" s="8"/>
      <c r="AA81" s="33"/>
      <c r="AB81" s="8"/>
      <c r="AC81" s="8"/>
      <c r="AD81" s="33"/>
      <c r="AE81" s="8"/>
      <c r="AF81" s="8"/>
      <c r="AG81" s="8"/>
      <c r="AH81" s="8"/>
      <c r="AI81" s="8"/>
      <c r="AJ81" s="8"/>
      <c r="AK81" s="8"/>
      <c r="AL81" s="8"/>
      <c r="AM81" s="8"/>
      <c r="AN81" s="8"/>
      <c r="AO81" s="15"/>
      <c r="BA81" s="85"/>
      <c r="BB81" s="82"/>
    </row>
    <row r="82" spans="1:54" ht="15.75">
      <c r="A82" s="33">
        <f>+'[1] FOEX px'!AJ30</f>
        <v>42551</v>
      </c>
      <c r="B82" s="190">
        <f t="shared" si="2"/>
        <v>42551</v>
      </c>
      <c r="C82" s="147">
        <f>+'[1] FOEX px'!AL30</f>
        <v>500.21923076923082</v>
      </c>
      <c r="D82" s="147">
        <f>+'[1] FOEX px'!AM30</f>
        <v>608.20307692307699</v>
      </c>
      <c r="E82" s="147">
        <f>+'[1] FOEX px'!AN30</f>
        <v>693.27307692307681</v>
      </c>
      <c r="F82" s="147">
        <f>+'[1] FOEX px'!AO30</f>
        <v>796.43923076923068</v>
      </c>
      <c r="G82" s="83">
        <f t="shared" si="3"/>
        <v>-193.053846153846</v>
      </c>
      <c r="H82" s="83">
        <f t="shared" si="4"/>
        <v>107.98384615384617</v>
      </c>
      <c r="I82" s="142">
        <f t="shared" si="5"/>
        <v>103.16615384615386</v>
      </c>
      <c r="J82" s="8">
        <f t="shared" si="7"/>
        <v>2016</v>
      </c>
      <c r="K82" s="405">
        <f t="shared" si="6"/>
        <v>42551</v>
      </c>
      <c r="L82" s="8">
        <f>+'[2]CERV VALOR'!AG18</f>
        <v>47.027076923076905</v>
      </c>
      <c r="N82" s="15">
        <f t="shared" si="9"/>
        <v>2023</v>
      </c>
      <c r="O82" s="15">
        <f t="shared" ca="1" si="8"/>
        <v>82.180346153846159</v>
      </c>
      <c r="Y82" s="33"/>
      <c r="Z82" s="8"/>
      <c r="AA82" s="33"/>
      <c r="AB82" s="8"/>
      <c r="AC82" s="8"/>
      <c r="AD82" s="33"/>
      <c r="AE82" s="8"/>
      <c r="AF82" s="8"/>
      <c r="AG82" s="8"/>
      <c r="AH82" s="8"/>
      <c r="AI82" s="8"/>
      <c r="AJ82" s="8"/>
      <c r="AK82" s="8"/>
      <c r="AL82" s="8"/>
      <c r="AM82" s="8"/>
      <c r="AN82" s="8"/>
      <c r="AO82" s="15"/>
      <c r="BA82" s="85"/>
      <c r="BB82" s="82"/>
    </row>
    <row r="83" spans="1:54" ht="15.75">
      <c r="A83" s="33">
        <f>+'[1] FOEX px'!AJ31</f>
        <v>42643</v>
      </c>
      <c r="B83" s="190">
        <f t="shared" si="2"/>
        <v>42643</v>
      </c>
      <c r="C83" s="147">
        <f>+'[1] FOEX px'!AL31</f>
        <v>486.6615384615385</v>
      </c>
      <c r="D83" s="147">
        <f>+'[1] FOEX px'!AM31</f>
        <v>600.38615384615389</v>
      </c>
      <c r="E83" s="147">
        <f>+'[1] FOEX px'!AN31</f>
        <v>671.49076923076905</v>
      </c>
      <c r="F83" s="147">
        <f>+'[1] FOEX px'!AO31</f>
        <v>811.16076923076912</v>
      </c>
      <c r="G83" s="83">
        <f t="shared" si="3"/>
        <v>-184.82923076923055</v>
      </c>
      <c r="H83" s="83">
        <f t="shared" si="4"/>
        <v>113.72461538461539</v>
      </c>
      <c r="I83" s="142">
        <f t="shared" si="5"/>
        <v>139.67000000000007</v>
      </c>
      <c r="J83" s="8">
        <f t="shared" si="7"/>
        <v>2016</v>
      </c>
      <c r="K83" s="405">
        <f t="shared" si="6"/>
        <v>42643</v>
      </c>
      <c r="L83" s="8">
        <f>+'[2]CERV VALOR'!AG19</f>
        <v>46.987575757575755</v>
      </c>
      <c r="N83" s="15">
        <f t="shared" si="9"/>
        <v>2024</v>
      </c>
      <c r="O83" s="15">
        <f t="shared" ca="1" si="8"/>
        <v>79.878715034965026</v>
      </c>
      <c r="Y83" s="33"/>
      <c r="Z83" s="8"/>
      <c r="AA83" s="33"/>
      <c r="AB83" s="8"/>
      <c r="AC83" s="8"/>
      <c r="AD83" s="33"/>
      <c r="AE83" s="8"/>
      <c r="AF83" s="8"/>
      <c r="AG83" s="8"/>
      <c r="AH83" s="8"/>
      <c r="AI83" s="8"/>
      <c r="AJ83" s="8"/>
      <c r="AK83" s="8"/>
      <c r="AL83" s="8"/>
      <c r="AM83" s="8"/>
      <c r="AN83" s="8"/>
      <c r="AO83" s="15"/>
      <c r="BA83" s="85"/>
      <c r="BB83" s="82"/>
    </row>
    <row r="84" spans="1:54" ht="15.75">
      <c r="A84" s="33">
        <f>+'[1] FOEX px'!AJ32</f>
        <v>42735</v>
      </c>
      <c r="B84" s="190">
        <f t="shared" si="2"/>
        <v>42735</v>
      </c>
      <c r="C84" s="147">
        <f>+'[1] FOEX px'!AL32</f>
        <v>494.68923076923068</v>
      </c>
      <c r="D84" s="147">
        <f>+'[1] FOEX px'!AM32</f>
        <v>592.89538461538461</v>
      </c>
      <c r="E84" s="147">
        <f>+'[1] FOEX px'!AN32</f>
        <v>655.10769230769233</v>
      </c>
      <c r="F84" s="147">
        <f>+'[1] FOEX px'!AO32</f>
        <v>808.88538461538462</v>
      </c>
      <c r="G84" s="83">
        <f t="shared" si="3"/>
        <v>-160.41846153846166</v>
      </c>
      <c r="H84" s="83">
        <f t="shared" si="4"/>
        <v>98.206153846153939</v>
      </c>
      <c r="I84" s="142">
        <f t="shared" si="5"/>
        <v>153.77769230769229</v>
      </c>
      <c r="J84" s="8">
        <f t="shared" si="7"/>
        <v>2016</v>
      </c>
      <c r="K84" s="405">
        <f t="shared" si="6"/>
        <v>42735</v>
      </c>
      <c r="L84" s="8">
        <f>+'[2]CERV VALOR'!AG20</f>
        <v>51.127230769230756</v>
      </c>
      <c r="N84" s="15"/>
      <c r="O84" s="15"/>
      <c r="Y84" s="33"/>
      <c r="Z84" s="8"/>
      <c r="AA84" s="33"/>
      <c r="AB84" s="8"/>
      <c r="AC84" s="8"/>
      <c r="AD84" s="33"/>
      <c r="AE84" s="8"/>
      <c r="AF84" s="8"/>
      <c r="AG84" s="8"/>
      <c r="AH84" s="8"/>
      <c r="AI84" s="8"/>
      <c r="AJ84" s="8"/>
      <c r="AK84" s="8"/>
      <c r="AL84" s="8"/>
      <c r="AM84" s="8"/>
      <c r="AN84" s="8"/>
      <c r="AO84" s="15"/>
      <c r="BA84" s="85"/>
      <c r="BB84" s="82"/>
    </row>
    <row r="85" spans="1:54" ht="15.75">
      <c r="A85" s="33">
        <f>+'[1] FOEX px'!AJ33</f>
        <v>42825</v>
      </c>
      <c r="B85" s="190">
        <f t="shared" si="2"/>
        <v>42825</v>
      </c>
      <c r="C85" s="147">
        <f>+'[1] FOEX px'!AL33</f>
        <v>559.91384615384618</v>
      </c>
      <c r="D85" s="147">
        <f>+'[1] FOEX px'!AM33</f>
        <v>633.3738461538461</v>
      </c>
      <c r="E85" s="147">
        <f>+'[1] FOEX px'!AN33</f>
        <v>680.46769230769235</v>
      </c>
      <c r="F85" s="147">
        <f>+'[1] FOEX px'!AO33</f>
        <v>816.36461538461538</v>
      </c>
      <c r="G85" s="83">
        <f t="shared" si="3"/>
        <v>-120.55384615384617</v>
      </c>
      <c r="H85" s="83">
        <f t="shared" si="4"/>
        <v>73.459999999999923</v>
      </c>
      <c r="I85" s="142">
        <f t="shared" si="5"/>
        <v>135.89692307692303</v>
      </c>
      <c r="J85" s="8">
        <f t="shared" si="7"/>
        <v>2017</v>
      </c>
      <c r="K85" s="405">
        <f t="shared" si="6"/>
        <v>42825</v>
      </c>
      <c r="L85" s="8">
        <f>+'[2]CERV VALOR'!AG21</f>
        <v>54.60830769230769</v>
      </c>
      <c r="N85" s="15"/>
      <c r="O85" s="15"/>
      <c r="Y85" s="33"/>
      <c r="Z85" s="8"/>
      <c r="AA85" s="33"/>
      <c r="AB85" s="8"/>
      <c r="AC85" s="8"/>
      <c r="AD85" s="33"/>
      <c r="AE85" s="8"/>
      <c r="AF85" s="8"/>
      <c r="AG85" s="8"/>
      <c r="AH85" s="8"/>
      <c r="AI85" s="8"/>
      <c r="AJ85" s="8"/>
      <c r="AK85" s="8"/>
      <c r="AL85" s="8"/>
      <c r="AM85" s="8"/>
      <c r="AN85" s="8"/>
      <c r="AO85" s="15"/>
    </row>
    <row r="86" spans="1:54" ht="15.75">
      <c r="A86" s="33">
        <f>+'[1] FOEX px'!AJ34</f>
        <v>42916</v>
      </c>
      <c r="B86" s="190">
        <f t="shared" si="2"/>
        <v>42916</v>
      </c>
      <c r="C86" s="147">
        <f>+'[1] FOEX px'!AL34</f>
        <v>618.16923076923081</v>
      </c>
      <c r="D86" s="147">
        <f>+'[1] FOEX px'!AM34</f>
        <v>644.88923076923072</v>
      </c>
      <c r="E86" s="147">
        <f>+'[1] FOEX px'!AN34</f>
        <v>782.79153846153838</v>
      </c>
      <c r="F86" s="147">
        <f>+'[1] FOEX px'!AO34</f>
        <v>860.14615384615399</v>
      </c>
      <c r="G86" s="83">
        <f t="shared" si="3"/>
        <v>-164.62230769230757</v>
      </c>
      <c r="H86" s="83">
        <f t="shared" si="4"/>
        <v>26.719999999999914</v>
      </c>
      <c r="I86" s="142">
        <f t="shared" si="5"/>
        <v>77.354615384615613</v>
      </c>
      <c r="J86" s="8">
        <f t="shared" si="7"/>
        <v>2017</v>
      </c>
      <c r="K86" s="405">
        <f t="shared" si="6"/>
        <v>42916</v>
      </c>
      <c r="L86" s="8">
        <f>+'[2]CERV VALOR'!AG22</f>
        <v>50.870923076923063</v>
      </c>
      <c r="N86" s="15"/>
      <c r="O86" s="15"/>
      <c r="Y86" s="33"/>
      <c r="Z86" s="8"/>
      <c r="AA86" s="33"/>
      <c r="AB86" s="8"/>
      <c r="AC86" s="8"/>
      <c r="AD86" s="33"/>
      <c r="AE86" s="8"/>
      <c r="AF86" s="8"/>
      <c r="AG86" s="8"/>
      <c r="AH86" s="8"/>
      <c r="AI86" s="8"/>
      <c r="AJ86" s="8"/>
      <c r="AK86" s="8"/>
      <c r="AL86" s="8"/>
      <c r="AM86" s="8"/>
      <c r="AN86" s="8"/>
      <c r="AO86" s="15"/>
    </row>
    <row r="87" spans="1:54" ht="15.75">
      <c r="A87" s="33">
        <f>+'[1] FOEX px'!AJ35</f>
        <v>43008</v>
      </c>
      <c r="B87" s="190">
        <f t="shared" si="2"/>
        <v>43008</v>
      </c>
      <c r="C87" s="147">
        <f>+'[1] FOEX px'!AL35</f>
        <v>643.66384615384607</v>
      </c>
      <c r="D87" s="147">
        <f>+'[1] FOEX px'!AM35</f>
        <v>659.68461538461531</v>
      </c>
      <c r="E87" s="147">
        <f>+'[1] FOEX px'!AN35</f>
        <v>873.24461538461537</v>
      </c>
      <c r="F87" s="147">
        <f>+'[1] FOEX px'!AO35</f>
        <v>894.21384615384625</v>
      </c>
      <c r="G87" s="83">
        <f t="shared" si="3"/>
        <v>-229.58076923076931</v>
      </c>
      <c r="H87" s="83">
        <f t="shared" si="4"/>
        <v>16.020769230769247</v>
      </c>
      <c r="I87" s="142">
        <f t="shared" si="5"/>
        <v>20.969230769230876</v>
      </c>
      <c r="J87" s="8">
        <f t="shared" si="7"/>
        <v>2017</v>
      </c>
      <c r="K87" s="405">
        <f t="shared" si="6"/>
        <v>43008</v>
      </c>
      <c r="L87" s="8">
        <f>+'[2]CERV VALOR'!AG23</f>
        <v>52.168307692307685</v>
      </c>
      <c r="N87" s="15"/>
      <c r="O87" s="15"/>
      <c r="Y87" s="33"/>
      <c r="Z87" s="8"/>
      <c r="AA87" s="33"/>
      <c r="AB87" s="8"/>
      <c r="AC87" s="8"/>
      <c r="AD87" s="33"/>
      <c r="AE87" s="8"/>
      <c r="AF87" s="8"/>
      <c r="AG87" s="8"/>
      <c r="AH87" s="8"/>
      <c r="AI87" s="8"/>
      <c r="AJ87" s="8"/>
      <c r="AK87" s="8"/>
      <c r="AL87" s="8"/>
      <c r="AM87" s="8"/>
      <c r="AN87" s="8"/>
      <c r="AO87" s="15"/>
    </row>
    <row r="88" spans="1:54" ht="15.75">
      <c r="A88" s="33">
        <f>+'[1] FOEX px'!AJ36</f>
        <v>43100</v>
      </c>
      <c r="B88" s="190">
        <f t="shared" si="2"/>
        <v>43100</v>
      </c>
      <c r="C88" s="147">
        <f>+'[1] FOEX px'!AL36</f>
        <v>724.14230769230755</v>
      </c>
      <c r="D88" s="147">
        <f>+'[1] FOEX px'!AM36</f>
        <v>831.18461538461531</v>
      </c>
      <c r="E88" s="147">
        <f>+'[1] FOEX px'!AN36</f>
        <v>941.09615384615381</v>
      </c>
      <c r="F88" s="147">
        <f>+'[1] FOEX px'!AO36</f>
        <v>952.95307692307688</v>
      </c>
      <c r="G88" s="83">
        <f t="shared" si="3"/>
        <v>-216.95384615384626</v>
      </c>
      <c r="H88" s="83">
        <f t="shared" si="4"/>
        <v>107.04230769230776</v>
      </c>
      <c r="I88" s="142">
        <f t="shared" si="5"/>
        <v>11.856923076923067</v>
      </c>
      <c r="J88" s="8">
        <f t="shared" si="7"/>
        <v>2017</v>
      </c>
      <c r="K88" s="405">
        <f t="shared" si="6"/>
        <v>43100</v>
      </c>
      <c r="L88" s="8">
        <f>+'[2]CERV VALOR'!AG24</f>
        <v>61.514153846153853</v>
      </c>
      <c r="N88" s="15"/>
      <c r="O88" s="15"/>
      <c r="Y88" s="33"/>
      <c r="Z88" s="8"/>
      <c r="AA88" s="33"/>
      <c r="AB88" s="8"/>
      <c r="AC88" s="8"/>
      <c r="AD88" s="33"/>
      <c r="AE88" s="8"/>
      <c r="AF88" s="8"/>
      <c r="AG88" s="8"/>
      <c r="AH88" s="8"/>
      <c r="AI88" s="8"/>
      <c r="AJ88" s="8"/>
      <c r="AK88" s="8"/>
      <c r="AL88" s="8"/>
      <c r="AM88" s="8"/>
      <c r="AN88" s="8"/>
      <c r="AO88" s="15"/>
    </row>
    <row r="89" spans="1:54" ht="15.75">
      <c r="A89" s="33">
        <f>+'[1] FOEX px'!AJ37</f>
        <v>43190</v>
      </c>
      <c r="B89" s="190">
        <f t="shared" si="2"/>
        <v>43190</v>
      </c>
      <c r="C89" s="147">
        <f>+'[1] FOEX px'!AL37</f>
        <v>759.79769230769239</v>
      </c>
      <c r="D89" s="147">
        <f>+'[1] FOEX px'!AM37</f>
        <v>892.46538461538466</v>
      </c>
      <c r="E89" s="147">
        <f>+'[1] FOEX px'!AN37</f>
        <v>1009.0246153846155</v>
      </c>
      <c r="F89" s="147">
        <f>+'[1] FOEX px'!AO37</f>
        <v>1056.1299999999999</v>
      </c>
      <c r="G89" s="83">
        <f t="shared" si="3"/>
        <v>-249.22692307692307</v>
      </c>
      <c r="H89" s="83">
        <f t="shared" si="4"/>
        <v>132.66769230769228</v>
      </c>
      <c r="I89" s="142">
        <f t="shared" si="5"/>
        <v>47.105384615384423</v>
      </c>
      <c r="J89" s="8">
        <f t="shared" si="7"/>
        <v>2018</v>
      </c>
      <c r="K89" s="405">
        <f t="shared" si="6"/>
        <v>43190</v>
      </c>
      <c r="L89" s="8">
        <f>+'[2]CERV VALOR'!AG25</f>
        <v>67.270615384615368</v>
      </c>
      <c r="N89" s="15"/>
      <c r="O89" s="15"/>
      <c r="Y89" s="33"/>
      <c r="Z89" s="8"/>
      <c r="AA89" s="33"/>
      <c r="AB89" s="8"/>
      <c r="AC89" s="8"/>
      <c r="AD89" s="33"/>
      <c r="AE89" s="8"/>
      <c r="AF89" s="8"/>
      <c r="AG89" s="8"/>
      <c r="AH89" s="8"/>
      <c r="AI89" s="8"/>
      <c r="AJ89" s="8"/>
      <c r="AK89" s="8"/>
      <c r="AL89" s="8"/>
      <c r="AM89" s="8"/>
      <c r="AN89" s="8"/>
    </row>
    <row r="90" spans="1:54" ht="15.75">
      <c r="A90" s="33">
        <f>+'[1] FOEX px'!AJ38</f>
        <v>43281</v>
      </c>
      <c r="B90" s="190">
        <f t="shared" si="2"/>
        <v>43281</v>
      </c>
      <c r="C90" s="147">
        <f>+'[1] FOEX px'!AL38</f>
        <v>769.04153846153849</v>
      </c>
      <c r="D90" s="147">
        <f>+'[1] FOEX px'!AM38</f>
        <v>892.57923076923066</v>
      </c>
      <c r="E90" s="147">
        <f>+'[1] FOEX px'!AN38</f>
        <v>1044.3807692307691</v>
      </c>
      <c r="F90" s="147">
        <f>+'[1] FOEX px'!AO38</f>
        <v>1159.2461538461539</v>
      </c>
      <c r="G90" s="83">
        <f t="shared" si="3"/>
        <v>-275.33923076923065</v>
      </c>
      <c r="H90" s="83">
        <f t="shared" si="4"/>
        <v>123.53769230769217</v>
      </c>
      <c r="I90" s="142">
        <f t="shared" si="5"/>
        <v>114.86538461538476</v>
      </c>
      <c r="J90" s="8">
        <f t="shared" si="7"/>
        <v>2018</v>
      </c>
      <c r="K90" s="405">
        <f t="shared" si="6"/>
        <v>43281</v>
      </c>
      <c r="L90" s="8">
        <f>+'[2]CERV VALOR'!AG26</f>
        <v>74.968153846153868</v>
      </c>
      <c r="N90" s="15"/>
      <c r="O90" s="15"/>
      <c r="Y90" s="33"/>
      <c r="Z90" s="8"/>
      <c r="AA90" s="33"/>
      <c r="AB90" s="8"/>
      <c r="AC90" s="8"/>
      <c r="AD90" s="33"/>
      <c r="AE90" s="8"/>
      <c r="AF90" s="8"/>
      <c r="AG90" s="8"/>
      <c r="AH90" s="8"/>
      <c r="AI90" s="8"/>
      <c r="AJ90" s="8"/>
      <c r="AK90" s="8"/>
      <c r="AL90" s="8"/>
      <c r="AM90" s="8"/>
      <c r="AN90" s="8"/>
    </row>
    <row r="91" spans="1:54" ht="15.75">
      <c r="A91" s="33">
        <f>+'[1] FOEX px'!AJ39</f>
        <v>43373</v>
      </c>
      <c r="B91" s="190">
        <f t="shared" si="2"/>
        <v>43373</v>
      </c>
      <c r="C91" s="147">
        <f>+'[1] FOEX px'!AL39</f>
        <v>769.80076923076922</v>
      </c>
      <c r="D91" s="147">
        <f>+'[1] FOEX px'!AM39</f>
        <v>867.47692307692296</v>
      </c>
      <c r="E91" s="147">
        <f>+'[1] FOEX px'!AN39</f>
        <v>1050</v>
      </c>
      <c r="F91" s="147">
        <f>+'[1] FOEX px'!AO39</f>
        <v>1226.9084615384618</v>
      </c>
      <c r="G91" s="83">
        <f t="shared" si="3"/>
        <v>-280.19923076923078</v>
      </c>
      <c r="H91" s="83">
        <f t="shared" si="4"/>
        <v>97.676153846153738</v>
      </c>
      <c r="I91" s="142">
        <f t="shared" si="5"/>
        <v>176.90846153846178</v>
      </c>
      <c r="J91" s="8">
        <f t="shared" si="7"/>
        <v>2018</v>
      </c>
      <c r="K91" s="405">
        <f t="shared" si="6"/>
        <v>43373</v>
      </c>
      <c r="L91" s="8">
        <f>+'[2]CERV VALOR'!AG27</f>
        <v>75.838307692307708</v>
      </c>
      <c r="N91" s="15"/>
      <c r="O91" s="15"/>
      <c r="Y91" s="33"/>
      <c r="Z91" s="8"/>
      <c r="AA91" s="33"/>
      <c r="AB91" s="8"/>
      <c r="AC91" s="8"/>
      <c r="AD91" s="33"/>
      <c r="AE91" s="8"/>
      <c r="AF91" s="8"/>
      <c r="AG91" s="8"/>
      <c r="AH91" s="8"/>
      <c r="AI91" s="8"/>
      <c r="AJ91" s="8"/>
      <c r="AK91" s="8"/>
      <c r="AL91" s="8"/>
      <c r="AM91" s="8"/>
      <c r="AN91" s="8"/>
    </row>
    <row r="92" spans="1:54" ht="15.75">
      <c r="A92" s="33">
        <f>+'[1] FOEX px'!AJ40</f>
        <v>43465</v>
      </c>
      <c r="B92" s="190">
        <f t="shared" si="2"/>
        <v>43465</v>
      </c>
      <c r="C92" s="147">
        <f>+'[1] FOEX px'!AL40</f>
        <v>741.04923076923069</v>
      </c>
      <c r="D92" s="147">
        <f>+'[1] FOEX px'!AM40</f>
        <v>826.70384615384603</v>
      </c>
      <c r="E92" s="147">
        <f>+'[1] FOEX px'!AN40</f>
        <v>1045.166923076923</v>
      </c>
      <c r="F92" s="147">
        <f>+'[1] FOEX px'!AO40</f>
        <v>1223.2953846153846</v>
      </c>
      <c r="G92" s="83">
        <f t="shared" si="3"/>
        <v>-304.11769230769232</v>
      </c>
      <c r="H92" s="83">
        <f t="shared" si="4"/>
        <v>85.65461538461534</v>
      </c>
      <c r="I92" s="142">
        <f t="shared" si="5"/>
        <v>178.12846153846158</v>
      </c>
      <c r="J92" s="8">
        <f t="shared" si="7"/>
        <v>2018</v>
      </c>
      <c r="K92" s="405">
        <f t="shared" si="6"/>
        <v>43465</v>
      </c>
      <c r="L92" s="8">
        <f>+'[2]CERV VALOR'!AG28</f>
        <v>68.323030303030322</v>
      </c>
      <c r="N92" s="15"/>
      <c r="O92" s="15"/>
      <c r="R92" s="15"/>
      <c r="Y92" s="33"/>
      <c r="Z92" s="8"/>
      <c r="AA92" s="33"/>
      <c r="AB92" s="8"/>
      <c r="AC92" s="8"/>
      <c r="AD92" s="33"/>
      <c r="AE92" s="8"/>
      <c r="AF92" s="8"/>
      <c r="AG92" s="8"/>
      <c r="AH92" s="8"/>
      <c r="AI92" s="8"/>
      <c r="AJ92" s="8"/>
      <c r="AK92" s="8"/>
      <c r="AL92" s="8"/>
      <c r="AM92" s="8"/>
      <c r="AN92" s="8"/>
    </row>
    <row r="93" spans="1:54" ht="15.75">
      <c r="A93" s="33">
        <f>+'[1] FOEX px'!AJ41</f>
        <v>43555</v>
      </c>
      <c r="B93" s="190">
        <f t="shared" si="2"/>
        <v>43555</v>
      </c>
      <c r="C93" s="147">
        <f>+'[1] FOEX px'!AL41</f>
        <v>668.27615384615376</v>
      </c>
      <c r="D93" s="147">
        <f>+'[1] FOEX px'!AM41</f>
        <v>702.39153846153829</v>
      </c>
      <c r="E93" s="147">
        <f>+'[1] FOEX px'!AN41</f>
        <v>994.79307692307702</v>
      </c>
      <c r="F93" s="147">
        <f>+'[1] FOEX px'!AO41</f>
        <v>1150.3907692307694</v>
      </c>
      <c r="G93" s="83">
        <f t="shared" si="3"/>
        <v>-326.51692307692326</v>
      </c>
      <c r="H93" s="83">
        <f t="shared" si="4"/>
        <v>34.115384615384528</v>
      </c>
      <c r="I93" s="142">
        <f t="shared" si="5"/>
        <v>155.59769230769234</v>
      </c>
      <c r="J93" s="8">
        <f t="shared" si="7"/>
        <v>2019</v>
      </c>
      <c r="K93" s="405">
        <f t="shared" si="6"/>
        <v>43555</v>
      </c>
      <c r="L93" s="8">
        <f>+'[2]CERV VALOR'!AG29</f>
        <v>63.676718750000013</v>
      </c>
      <c r="N93" s="15"/>
      <c r="O93" s="15"/>
      <c r="Y93" s="33"/>
      <c r="Z93" s="8"/>
      <c r="AA93" s="33"/>
      <c r="AB93" s="8"/>
      <c r="AC93" s="8"/>
      <c r="AD93" s="33"/>
      <c r="AE93" s="8"/>
      <c r="AF93" s="8"/>
      <c r="AG93" s="8"/>
      <c r="AH93" s="8"/>
      <c r="AI93" s="8"/>
      <c r="AJ93" s="8"/>
      <c r="AK93" s="8"/>
      <c r="AL93" s="8"/>
      <c r="AM93" s="8"/>
      <c r="AN93" s="8"/>
    </row>
    <row r="94" spans="1:54" ht="15.75">
      <c r="A94" s="33">
        <f>+'[1] FOEX px'!AJ42</f>
        <v>43646</v>
      </c>
      <c r="B94" s="190">
        <f t="shared" si="2"/>
        <v>43646</v>
      </c>
      <c r="C94" s="147">
        <f>+'[1] FOEX px'!AL42</f>
        <v>648.01615384615377</v>
      </c>
      <c r="D94" s="147">
        <f>+'[1] FOEX px'!AM42</f>
        <v>672.36769230769232</v>
      </c>
      <c r="E94" s="147">
        <f>+'[1] FOEX px'!AN42</f>
        <v>938.30461538461532</v>
      </c>
      <c r="F94" s="147">
        <f>+'[1] FOEX px'!AO42</f>
        <v>1049.4100000000001</v>
      </c>
      <c r="G94" s="83">
        <f t="shared" si="3"/>
        <v>-290.28846153846155</v>
      </c>
      <c r="H94" s="83">
        <f t="shared" si="4"/>
        <v>24.351538461538553</v>
      </c>
      <c r="I94" s="142">
        <f t="shared" si="5"/>
        <v>111.10538461538476</v>
      </c>
      <c r="J94" s="8">
        <f t="shared" si="7"/>
        <v>2019</v>
      </c>
      <c r="K94" s="405">
        <f t="shared" si="6"/>
        <v>43646</v>
      </c>
      <c r="L94" s="8">
        <f>+'[2]CERV VALOR'!AG30</f>
        <v>68.521538461538441</v>
      </c>
      <c r="M94" s="8"/>
      <c r="N94" s="8"/>
      <c r="O94" s="8"/>
      <c r="Y94" s="33"/>
      <c r="Z94" s="8"/>
      <c r="AA94" s="33"/>
      <c r="AB94" s="8"/>
      <c r="AC94" s="8"/>
      <c r="AD94" s="33"/>
      <c r="AE94" s="8"/>
      <c r="AF94" s="8"/>
      <c r="AG94" s="8"/>
      <c r="AH94" s="8"/>
      <c r="AI94" s="8"/>
      <c r="AJ94" s="8"/>
      <c r="AK94" s="8"/>
      <c r="AL94" s="8"/>
      <c r="AM94" s="8"/>
      <c r="AN94" s="8"/>
    </row>
    <row r="95" spans="1:54" ht="15.75">
      <c r="A95" s="33">
        <f>+'[1] FOEX px'!AJ43</f>
        <v>43738</v>
      </c>
      <c r="B95" s="190">
        <f t="shared" si="2"/>
        <v>43738</v>
      </c>
      <c r="C95" s="147">
        <f>+'[1] FOEX px'!AL43</f>
        <v>494.50923076923078</v>
      </c>
      <c r="D95" s="147">
        <f>+'[1] FOEX px'!AM43</f>
        <v>570.28461538461534</v>
      </c>
      <c r="E95" s="147">
        <f>+'[1] FOEX px'!AN43</f>
        <v>815.20461538461541</v>
      </c>
      <c r="F95" s="147">
        <f>+'[1] FOEX px'!AO43</f>
        <v>917.09615384615404</v>
      </c>
      <c r="G95" s="83">
        <f t="shared" si="3"/>
        <v>-320.69538461538463</v>
      </c>
      <c r="H95" s="83">
        <f t="shared" si="4"/>
        <v>75.775384615384553</v>
      </c>
      <c r="I95" s="142">
        <f t="shared" si="5"/>
        <v>101.89153846153863</v>
      </c>
      <c r="J95" s="8">
        <f t="shared" si="7"/>
        <v>2019</v>
      </c>
      <c r="K95" s="405">
        <f t="shared" si="6"/>
        <v>43738</v>
      </c>
      <c r="L95" s="8">
        <f>+'[2]CERV VALOR'!AG31</f>
        <v>62.030454545454539</v>
      </c>
      <c r="M95" s="8"/>
      <c r="N95" s="8"/>
      <c r="O95" s="8"/>
      <c r="Y95" s="33"/>
      <c r="Z95" s="8"/>
      <c r="AA95" s="33"/>
      <c r="AB95" s="8"/>
      <c r="AC95" s="8"/>
      <c r="AD95" s="33"/>
      <c r="AE95" s="8"/>
      <c r="AF95" s="8"/>
      <c r="AG95" s="8"/>
      <c r="AH95" s="8"/>
      <c r="AI95" s="8"/>
      <c r="AJ95" s="8"/>
      <c r="AK95" s="8"/>
      <c r="AL95" s="8"/>
      <c r="AM95" s="8"/>
      <c r="AN95" s="8"/>
    </row>
    <row r="96" spans="1:54" ht="15.75">
      <c r="A96" s="33">
        <f>+'[1] FOEX px'!AJ44</f>
        <v>43830</v>
      </c>
      <c r="B96" s="190">
        <f t="shared" si="2"/>
        <v>43830</v>
      </c>
      <c r="C96" s="147">
        <f>+'[1] FOEX px'!AL44</f>
        <v>459.83</v>
      </c>
      <c r="D96" s="147">
        <f>+'[1] FOEX px'!AM44</f>
        <v>565.9186666666667</v>
      </c>
      <c r="E96" s="147">
        <f>+'[1] FOEX px'!AN44</f>
        <v>694.78266666666661</v>
      </c>
      <c r="F96" s="147">
        <f>+'[1] FOEX px'!AO44</f>
        <v>825.32600000000025</v>
      </c>
      <c r="G96" s="83">
        <f t="shared" si="3"/>
        <v>-234.95266666666663</v>
      </c>
      <c r="H96" s="83">
        <f t="shared" si="4"/>
        <v>106.08866666666671</v>
      </c>
      <c r="I96" s="142">
        <f t="shared" si="5"/>
        <v>130.54333333333363</v>
      </c>
      <c r="J96" s="8">
        <f t="shared" si="7"/>
        <v>2019</v>
      </c>
      <c r="K96" s="405">
        <f t="shared" si="6"/>
        <v>43830</v>
      </c>
      <c r="L96" s="8">
        <f>+'[2]CERV VALOR'!AG32</f>
        <v>62.489242424242398</v>
      </c>
      <c r="M96" s="8"/>
      <c r="N96" s="8"/>
      <c r="O96" s="8"/>
      <c r="Y96" s="33"/>
      <c r="Z96" s="8"/>
      <c r="AA96" s="33"/>
      <c r="AB96" s="8"/>
      <c r="AC96" s="8"/>
      <c r="AD96" s="33"/>
      <c r="AE96" s="8"/>
      <c r="AF96" s="8"/>
      <c r="AG96" s="8"/>
      <c r="AH96" s="8"/>
      <c r="AI96" s="8"/>
      <c r="AJ96" s="8"/>
      <c r="AK96" s="8"/>
      <c r="AL96" s="8"/>
      <c r="AM96" s="8"/>
      <c r="AN96" s="8"/>
    </row>
    <row r="97" spans="1:40" ht="15.75">
      <c r="A97" s="33">
        <f>+'[1] FOEX px'!AJ45</f>
        <v>43921</v>
      </c>
      <c r="B97" s="190">
        <f t="shared" si="2"/>
        <v>43921</v>
      </c>
      <c r="C97" s="147">
        <f>+'[1] FOEX px'!AL45</f>
        <v>461.42923076923074</v>
      </c>
      <c r="D97" s="147">
        <f>+'[1] FOEX px'!AM45</f>
        <v>570.62076923076938</v>
      </c>
      <c r="E97" s="147">
        <f>+'[1] FOEX px'!AN45</f>
        <v>680.00076923076927</v>
      </c>
      <c r="F97" s="147">
        <f>+'[1] FOEX px'!AO45</f>
        <v>826.93461538461531</v>
      </c>
      <c r="G97" s="83">
        <f t="shared" si="3"/>
        <v>-218.57153846153852</v>
      </c>
      <c r="H97" s="83">
        <f t="shared" si="4"/>
        <v>109.19153846153864</v>
      </c>
      <c r="I97" s="142">
        <f t="shared" si="5"/>
        <v>146.93384615384605</v>
      </c>
      <c r="J97" s="8">
        <f t="shared" si="7"/>
        <v>2020</v>
      </c>
      <c r="K97" s="405">
        <f t="shared" si="6"/>
        <v>43921</v>
      </c>
      <c r="L97" s="8">
        <f>+'[2]CERV VALOR'!AG33</f>
        <v>51.052153846153836</v>
      </c>
      <c r="M97" s="8"/>
      <c r="N97" s="8"/>
      <c r="O97" s="8"/>
      <c r="Y97" s="33"/>
      <c r="Z97" s="8"/>
      <c r="AA97" s="33"/>
      <c r="AB97" s="8"/>
      <c r="AC97" s="8"/>
      <c r="AD97" s="33"/>
      <c r="AE97" s="8"/>
      <c r="AF97" s="8"/>
      <c r="AG97" s="8"/>
      <c r="AH97" s="8"/>
      <c r="AI97" s="8"/>
      <c r="AJ97" s="8"/>
      <c r="AK97" s="8"/>
      <c r="AL97" s="8"/>
      <c r="AM97" s="8"/>
      <c r="AN97" s="8"/>
    </row>
    <row r="98" spans="1:40" ht="15.75">
      <c r="A98" s="33">
        <f>+'[1] FOEX px'!AJ46</f>
        <v>44012</v>
      </c>
      <c r="B98" s="190">
        <f t="shared" si="2"/>
        <v>44012</v>
      </c>
      <c r="C98" s="147">
        <f>+'[1] FOEX px'!AL46</f>
        <v>466.54230769230765</v>
      </c>
      <c r="D98" s="147">
        <f>+'[1] FOEX px'!AM46</f>
        <v>576.23</v>
      </c>
      <c r="E98" s="147">
        <f>+'[1] FOEX px'!AN46</f>
        <v>680.33384615384614</v>
      </c>
      <c r="F98" s="147">
        <f>+'[1] FOEX px'!AO46</f>
        <v>850.2223076923076</v>
      </c>
      <c r="G98" s="83">
        <f t="shared" si="3"/>
        <v>-213.79153846153849</v>
      </c>
      <c r="H98" s="83">
        <f t="shared" si="4"/>
        <v>109.68769230769237</v>
      </c>
      <c r="I98" s="142">
        <f t="shared" si="5"/>
        <v>169.88846153846146</v>
      </c>
      <c r="J98" s="8">
        <f t="shared" si="7"/>
        <v>2020</v>
      </c>
      <c r="K98" s="405">
        <f t="shared" si="6"/>
        <v>44012</v>
      </c>
      <c r="L98" s="8">
        <f>+'[2]CERV VALOR'!AG34</f>
        <v>33.359846153846156</v>
      </c>
      <c r="M98" s="8"/>
      <c r="N98" s="8"/>
      <c r="O98" s="8"/>
      <c r="Y98" s="33"/>
      <c r="Z98" s="8"/>
      <c r="AA98" s="33"/>
      <c r="AB98" s="8"/>
      <c r="AC98" s="8"/>
      <c r="AD98" s="33"/>
      <c r="AE98" s="8"/>
      <c r="AF98" s="8"/>
      <c r="AG98" s="8"/>
      <c r="AH98" s="8"/>
      <c r="AI98" s="8"/>
      <c r="AJ98" s="8"/>
      <c r="AK98" s="8"/>
      <c r="AL98" s="8"/>
      <c r="AM98" s="8"/>
      <c r="AN98" s="8"/>
    </row>
    <row r="99" spans="1:40" ht="15.75">
      <c r="A99" s="33">
        <f>+'[1] FOEX px'!AJ47</f>
        <v>44104</v>
      </c>
      <c r="B99" s="190">
        <f t="shared" si="2"/>
        <v>44104</v>
      </c>
      <c r="C99" s="147">
        <f>+'[1] FOEX px'!AL47</f>
        <v>444.36999999999995</v>
      </c>
      <c r="D99" s="147">
        <f>+'[1] FOEX px'!AM47</f>
        <v>570.14615384615388</v>
      </c>
      <c r="E99" s="147">
        <f>+'[1] FOEX px'!AN47</f>
        <v>680</v>
      </c>
      <c r="F99" s="147">
        <f>+'[1] FOEX px'!AO47</f>
        <v>841.22538461538466</v>
      </c>
      <c r="G99" s="83">
        <f t="shared" si="3"/>
        <v>-235.63000000000005</v>
      </c>
      <c r="H99" s="83">
        <f t="shared" si="4"/>
        <v>125.77615384615393</v>
      </c>
      <c r="I99" s="142">
        <f t="shared" si="5"/>
        <v>161.22538461538466</v>
      </c>
      <c r="J99" s="8">
        <f t="shared" si="7"/>
        <v>2020</v>
      </c>
      <c r="K99" s="405">
        <f t="shared" si="6"/>
        <v>44104</v>
      </c>
      <c r="L99" s="8">
        <f>+'[2]CERV VALOR'!AG35</f>
        <v>43.344696969696976</v>
      </c>
      <c r="M99" s="8"/>
      <c r="N99" s="8"/>
      <c r="O99" s="8"/>
      <c r="Y99" s="33"/>
      <c r="Z99" s="8"/>
      <c r="AA99" s="33"/>
      <c r="AB99" s="8"/>
      <c r="AC99" s="8"/>
      <c r="AD99" s="33"/>
      <c r="AE99" s="8"/>
      <c r="AF99" s="8"/>
      <c r="AG99" s="8"/>
      <c r="AH99" s="8"/>
      <c r="AI99" s="8"/>
      <c r="AJ99" s="8"/>
      <c r="AK99" s="8"/>
      <c r="AL99" s="8"/>
      <c r="AM99" s="8"/>
      <c r="AN99" s="8"/>
    </row>
    <row r="100" spans="1:40" ht="15.75">
      <c r="A100" s="33">
        <f>+'[1] FOEX px'!AJ48</f>
        <v>44196</v>
      </c>
      <c r="B100" s="190">
        <f t="shared" si="2"/>
        <v>44196</v>
      </c>
      <c r="C100" s="147">
        <f>+'[1] FOEX px'!AL48</f>
        <v>464.52571428571417</v>
      </c>
      <c r="D100" s="147">
        <f>+'[1] FOEX px'!AM48</f>
        <v>621.87714285714276</v>
      </c>
      <c r="E100" s="147">
        <f>+'[1] FOEX px'!AN48</f>
        <v>680</v>
      </c>
      <c r="F100" s="147">
        <f>+'[1] FOEX px'!AO48</f>
        <v>855.73928571428587</v>
      </c>
      <c r="G100" s="83">
        <f t="shared" si="3"/>
        <v>-215.47428571428583</v>
      </c>
      <c r="H100" s="83">
        <f t="shared" si="4"/>
        <v>157.35142857142858</v>
      </c>
      <c r="I100" s="142">
        <f t="shared" si="5"/>
        <v>175.73928571428587</v>
      </c>
      <c r="J100" s="8">
        <f t="shared" si="7"/>
        <v>2020</v>
      </c>
      <c r="K100" s="405">
        <f t="shared" si="6"/>
        <v>44196</v>
      </c>
      <c r="L100" s="8">
        <f>+'[2]CERV VALOR'!AG36</f>
        <v>45.351515151515159</v>
      </c>
      <c r="M100" s="8"/>
      <c r="N100" s="8"/>
      <c r="O100" s="8"/>
      <c r="Y100" s="33"/>
      <c r="Z100" s="8"/>
      <c r="AA100" s="33"/>
      <c r="AB100" s="8"/>
      <c r="AC100" s="8"/>
      <c r="AD100" s="33"/>
      <c r="AE100" s="8"/>
      <c r="AF100" s="8"/>
      <c r="AG100" s="8"/>
      <c r="AH100" s="8"/>
      <c r="AI100" s="8"/>
      <c r="AJ100" s="8"/>
      <c r="AK100" s="8"/>
      <c r="AL100" s="8"/>
      <c r="AM100" s="8"/>
      <c r="AN100" s="8"/>
    </row>
    <row r="101" spans="1:40" ht="15.75">
      <c r="A101" s="33">
        <f>+'[1] FOEX px'!AJ49</f>
        <v>44286</v>
      </c>
      <c r="B101" s="190">
        <f t="shared" si="2"/>
        <v>44286</v>
      </c>
      <c r="C101" s="147">
        <f>+'[1] FOEX px'!AL49</f>
        <v>610.10692307692307</v>
      </c>
      <c r="D101" s="147">
        <f>+'[1] FOEX px'!AM49</f>
        <v>826.7461538461539</v>
      </c>
      <c r="E101" s="147">
        <f>+'[1] FOEX px'!AN49</f>
        <v>752.95384615384614</v>
      </c>
      <c r="F101" s="147">
        <f>+'[1] FOEX px'!AO49</f>
        <v>950.74307692307673</v>
      </c>
      <c r="G101" s="83">
        <f t="shared" si="3"/>
        <v>-142.84692307692308</v>
      </c>
      <c r="H101" s="83">
        <f t="shared" si="4"/>
        <v>216.63923076923083</v>
      </c>
      <c r="I101" s="142">
        <f t="shared" si="5"/>
        <v>197.78923076923058</v>
      </c>
      <c r="J101" s="8">
        <f t="shared" si="7"/>
        <v>2021</v>
      </c>
      <c r="K101" s="405">
        <f t="shared" si="6"/>
        <v>44286</v>
      </c>
      <c r="L101" s="8">
        <f>+'[2]CERV VALOR'!AG37</f>
        <v>61.172031249999989</v>
      </c>
      <c r="M101" s="8"/>
      <c r="N101" s="8"/>
      <c r="O101" s="8"/>
      <c r="Y101" s="33"/>
      <c r="Z101" s="8"/>
      <c r="AA101" s="33"/>
      <c r="AB101" s="8"/>
      <c r="AC101" s="8"/>
      <c r="AD101" s="33"/>
      <c r="AE101" s="8"/>
      <c r="AF101" s="8"/>
      <c r="AG101" s="8"/>
      <c r="AH101" s="8"/>
      <c r="AI101" s="8"/>
      <c r="AJ101" s="8"/>
      <c r="AK101" s="8"/>
      <c r="AL101" s="8"/>
      <c r="AM101" s="8"/>
      <c r="AN101" s="82"/>
    </row>
    <row r="102" spans="1:40" ht="15.75">
      <c r="A102" s="33">
        <f>+'[1] FOEX px'!AJ50</f>
        <v>44377</v>
      </c>
      <c r="B102" s="190">
        <f t="shared" si="2"/>
        <v>44377</v>
      </c>
      <c r="C102" s="147">
        <f>+'[1] FOEX px'!AL50</f>
        <v>773.85769230769233</v>
      </c>
      <c r="D102" s="147">
        <f>+'[1] FOEX px'!AM50</f>
        <v>974.67153846153838</v>
      </c>
      <c r="E102" s="147">
        <f>+'[1] FOEX px'!AN50</f>
        <v>991.4484615384614</v>
      </c>
      <c r="F102" s="147">
        <f>+'[1] FOEX px'!AO50</f>
        <v>1176.5346153846153</v>
      </c>
      <c r="G102" s="83">
        <f t="shared" ref="G102:G114" si="10">+C102-E102</f>
        <v>-217.59076923076907</v>
      </c>
      <c r="H102" s="83">
        <f t="shared" ref="H102:H114" si="11">D102-C102</f>
        <v>200.81384615384604</v>
      </c>
      <c r="I102" s="142">
        <f t="shared" ref="I102:I114" si="12">+F102-E102</f>
        <v>185.08615384615393</v>
      </c>
      <c r="J102" s="8">
        <f t="shared" si="7"/>
        <v>2021</v>
      </c>
      <c r="K102" s="405">
        <f t="shared" si="6"/>
        <v>44377</v>
      </c>
      <c r="L102" s="8">
        <f>+'[2]CERV VALOR'!AG38</f>
        <v>69.018923076923087</v>
      </c>
      <c r="M102" s="8"/>
      <c r="N102" s="8"/>
      <c r="O102" s="8"/>
      <c r="Y102" s="33"/>
      <c r="Z102" s="8"/>
      <c r="AA102" s="33"/>
      <c r="AB102" s="8"/>
      <c r="AC102" s="8"/>
      <c r="AD102" s="33"/>
      <c r="AE102" s="8"/>
      <c r="AF102" s="8"/>
      <c r="AG102" s="8"/>
      <c r="AH102" s="8"/>
      <c r="AI102" s="8"/>
      <c r="AJ102" s="8"/>
      <c r="AK102" s="8"/>
      <c r="AL102" s="8"/>
      <c r="AM102" s="8"/>
      <c r="AN102" s="8"/>
    </row>
    <row r="103" spans="1:40" ht="15.75">
      <c r="A103" s="33">
        <f>+'[1] FOEX px'!AJ51</f>
        <v>44469</v>
      </c>
      <c r="B103" s="190">
        <f t="shared" si="2"/>
        <v>44469</v>
      </c>
      <c r="C103" s="147">
        <f>+'[1] FOEX px'!AL51</f>
        <v>657.26384615384609</v>
      </c>
      <c r="D103" s="147">
        <f>+'[1] FOEX px'!AM51</f>
        <v>855.35615384615392</v>
      </c>
      <c r="E103" s="147">
        <f>+'[1] FOEX px'!AN51</f>
        <v>1134.8407692307692</v>
      </c>
      <c r="F103" s="147">
        <f>+'[1] FOEX px'!AO51</f>
        <v>1333.5592307692305</v>
      </c>
      <c r="G103" s="83">
        <f t="shared" si="10"/>
        <v>-477.57692307692309</v>
      </c>
      <c r="H103" s="83">
        <f t="shared" si="11"/>
        <v>198.09230769230783</v>
      </c>
      <c r="I103" s="142">
        <f t="shared" si="12"/>
        <v>198.71846153846127</v>
      </c>
      <c r="J103" s="8">
        <f t="shared" si="7"/>
        <v>2021</v>
      </c>
      <c r="K103" s="405">
        <f t="shared" si="6"/>
        <v>44469</v>
      </c>
      <c r="L103" s="8">
        <f>+'[2]CERV VALOR'!AG39</f>
        <v>73.227878787878808</v>
      </c>
      <c r="M103" s="8"/>
      <c r="N103" s="8"/>
      <c r="O103" s="8"/>
      <c r="Y103" s="33"/>
      <c r="Z103" s="8"/>
      <c r="AA103" s="33"/>
      <c r="AB103" s="8"/>
      <c r="AC103" s="8"/>
      <c r="AD103" s="33"/>
      <c r="AE103" s="8"/>
      <c r="AF103" s="8"/>
      <c r="AG103" s="8"/>
      <c r="AH103" s="8"/>
      <c r="AI103" s="8"/>
      <c r="AJ103" s="8"/>
      <c r="AK103" s="8"/>
      <c r="AL103" s="8"/>
      <c r="AM103" s="8"/>
      <c r="AN103" s="8"/>
    </row>
    <row r="104" spans="1:40" ht="15.75">
      <c r="A104" s="33">
        <f>+'[1] FOEX px'!AJ52</f>
        <v>44561</v>
      </c>
      <c r="B104" s="190">
        <f t="shared" si="2"/>
        <v>44561</v>
      </c>
      <c r="C104" s="147">
        <f>+'[1] FOEX px'!AL52</f>
        <v>569.05071428571432</v>
      </c>
      <c r="D104" s="147">
        <f>+'[1] FOEX px'!AM52</f>
        <v>749.7414285714284</v>
      </c>
      <c r="E104" s="147">
        <f>+'[1] FOEX px'!AN52</f>
        <v>1140</v>
      </c>
      <c r="F104" s="147">
        <f>+'[1] FOEX px'!AO52</f>
        <v>1309.4471428571428</v>
      </c>
      <c r="G104" s="83">
        <f t="shared" si="10"/>
        <v>-570.94928571428568</v>
      </c>
      <c r="H104" s="83">
        <f t="shared" si="11"/>
        <v>180.69071428571408</v>
      </c>
      <c r="I104" s="142">
        <f t="shared" si="12"/>
        <v>169.44714285714281</v>
      </c>
      <c r="J104" s="8">
        <f t="shared" si="7"/>
        <v>2021</v>
      </c>
      <c r="K104" s="405">
        <f t="shared" si="6"/>
        <v>44561</v>
      </c>
      <c r="L104" s="8">
        <f>+'[2]CERV VALOR'!AG40</f>
        <v>79.664393939393932</v>
      </c>
      <c r="M104" s="8"/>
      <c r="N104" s="8"/>
      <c r="O104" s="8"/>
      <c r="Y104" s="33"/>
      <c r="Z104" s="8"/>
      <c r="AA104" s="33"/>
      <c r="AB104" s="8"/>
      <c r="AC104" s="8"/>
      <c r="AD104" s="33"/>
      <c r="AE104" s="8"/>
      <c r="AF104" s="8"/>
      <c r="AG104" s="8"/>
      <c r="AH104" s="8"/>
      <c r="AI104" s="8"/>
      <c r="AJ104" s="8"/>
      <c r="AK104" s="8"/>
      <c r="AL104" s="8"/>
      <c r="AM104" s="8"/>
      <c r="AN104" s="8"/>
    </row>
    <row r="105" spans="1:40" ht="15.75">
      <c r="A105" s="33">
        <f>+'[1] FOEX px'!AJ53</f>
        <v>44651</v>
      </c>
      <c r="B105" s="190">
        <f t="shared" si="2"/>
        <v>44651</v>
      </c>
      <c r="C105" s="147">
        <f>+'[1] FOEX px'!AL53</f>
        <v>642.50916666666672</v>
      </c>
      <c r="D105" s="147">
        <f>+'[1] FOEX px'!AM53</f>
        <v>855.76583333333326</v>
      </c>
      <c r="E105" s="147">
        <f>+'[1] FOEX px'!AN53</f>
        <v>1149.2275000000002</v>
      </c>
      <c r="F105" s="147">
        <f>+'[1] FOEX px'!AO53</f>
        <v>1289.7958333333331</v>
      </c>
      <c r="G105" s="83">
        <f t="shared" si="10"/>
        <v>-506.71833333333348</v>
      </c>
      <c r="H105" s="83">
        <f t="shared" si="11"/>
        <v>213.25666666666655</v>
      </c>
      <c r="I105" s="142">
        <f t="shared" si="12"/>
        <v>140.56833333333293</v>
      </c>
      <c r="J105" s="8">
        <f t="shared" si="7"/>
        <v>2022</v>
      </c>
      <c r="K105" s="405">
        <f t="shared" ref="K105:K128" si="13">+B105</f>
        <v>44651</v>
      </c>
      <c r="L105" s="8">
        <f>+'[2]CERV VALOR'!AG41</f>
        <v>85.04105263157895</v>
      </c>
      <c r="M105" s="8"/>
      <c r="N105" s="8"/>
      <c r="O105" s="8"/>
      <c r="Y105" s="33"/>
      <c r="Z105" s="8"/>
      <c r="AA105" s="33"/>
      <c r="AB105" s="8"/>
      <c r="AC105" s="8"/>
      <c r="AD105" s="33"/>
      <c r="AE105" s="8"/>
      <c r="AF105" s="8"/>
      <c r="AG105" s="8"/>
      <c r="AH105" s="8"/>
      <c r="AI105" s="8"/>
      <c r="AJ105" s="8"/>
      <c r="AK105" s="8"/>
      <c r="AL105" s="8"/>
      <c r="AM105" s="8"/>
      <c r="AN105" s="82"/>
    </row>
    <row r="106" spans="1:40" ht="15.75">
      <c r="A106" s="33">
        <f>+'[1] FOEX px'!AJ54</f>
        <v>44742</v>
      </c>
      <c r="B106" s="190">
        <f t="shared" si="2"/>
        <v>44742</v>
      </c>
      <c r="C106" s="147">
        <f>+'[1] FOEX px'!AL54</f>
        <v>802.88076923076915</v>
      </c>
      <c r="D106" s="147">
        <f>+'[1] FOEX px'!AM54</f>
        <v>984.37153846153842</v>
      </c>
      <c r="E106" s="147">
        <f>+'[1] FOEX px'!AN54</f>
        <v>1235.2846153846153</v>
      </c>
      <c r="F106" s="147">
        <f>+'[1] FOEX px'!AO54</f>
        <v>1373.7653846153846</v>
      </c>
      <c r="G106" s="83">
        <f t="shared" si="10"/>
        <v>-432.40384615384619</v>
      </c>
      <c r="H106" s="83">
        <f t="shared" si="11"/>
        <v>181.49076923076927</v>
      </c>
      <c r="I106" s="142">
        <f t="shared" si="12"/>
        <v>138.48076923076928</v>
      </c>
      <c r="J106" s="8">
        <f t="shared" si="7"/>
        <v>2022</v>
      </c>
      <c r="K106" s="405">
        <f t="shared" si="13"/>
        <v>44742</v>
      </c>
      <c r="L106" s="8">
        <f>+'[2]CERV VALOR'!AG42</f>
        <v>111.97261538461539</v>
      </c>
      <c r="M106" s="8"/>
      <c r="N106" s="8"/>
      <c r="O106" s="8"/>
      <c r="Y106" s="33"/>
      <c r="Z106" s="8"/>
      <c r="AA106" s="33"/>
      <c r="AB106" s="8"/>
      <c r="AC106" s="8"/>
      <c r="AD106" s="33"/>
      <c r="AE106" s="8"/>
      <c r="AF106" s="8"/>
      <c r="AG106" s="8"/>
      <c r="AH106" s="8"/>
      <c r="AI106" s="8"/>
      <c r="AJ106" s="8"/>
      <c r="AK106" s="8"/>
      <c r="AL106" s="8"/>
      <c r="AM106" s="8"/>
      <c r="AN106" s="8"/>
    </row>
    <row r="107" spans="1:40" ht="15.75">
      <c r="A107" s="33">
        <f>+'[1] FOEX px'!AJ55</f>
        <v>44834</v>
      </c>
      <c r="B107" s="190">
        <f t="shared" si="2"/>
        <v>44834</v>
      </c>
      <c r="C107" s="147">
        <f>+'[1] FOEX px'!AL55</f>
        <v>862.26857142857148</v>
      </c>
      <c r="D107" s="147">
        <f>+'[1] FOEX px'!AM55</f>
        <v>974.11857142857139</v>
      </c>
      <c r="E107" s="147">
        <f>+'[1] FOEX px'!AN55</f>
        <v>1364.0414285714287</v>
      </c>
      <c r="F107" s="147">
        <f>+'[1] FOEX px'!AO55</f>
        <v>1477.1399999999999</v>
      </c>
      <c r="G107" s="83">
        <f t="shared" si="10"/>
        <v>-501.77285714285722</v>
      </c>
      <c r="H107" s="83">
        <f t="shared" si="11"/>
        <v>111.84999999999991</v>
      </c>
      <c r="I107" s="142">
        <f t="shared" si="12"/>
        <v>113.09857142857118</v>
      </c>
      <c r="J107" s="8">
        <f t="shared" si="7"/>
        <v>2022</v>
      </c>
      <c r="K107" s="405">
        <f t="shared" si="13"/>
        <v>44834</v>
      </c>
      <c r="L107" s="8">
        <f>+'[2]CERV VALOR'!AG43</f>
        <v>97.700000000000031</v>
      </c>
      <c r="M107" s="8"/>
      <c r="N107" s="8"/>
      <c r="O107" s="8"/>
      <c r="Y107" s="33"/>
      <c r="Z107" s="8"/>
      <c r="AA107" s="33"/>
      <c r="AB107" s="8"/>
      <c r="AC107" s="8"/>
      <c r="AD107" s="33"/>
      <c r="AE107" s="8"/>
      <c r="AF107" s="8"/>
      <c r="AG107" s="8"/>
      <c r="AH107" s="8"/>
      <c r="AI107" s="8"/>
      <c r="AJ107" s="8"/>
      <c r="AK107" s="8"/>
      <c r="AL107" s="8"/>
      <c r="AM107" s="8"/>
      <c r="AN107" s="8"/>
    </row>
    <row r="108" spans="1:40" ht="15.75">
      <c r="A108" s="33">
        <f>+'[1] FOEX px'!AJ56</f>
        <v>44925</v>
      </c>
      <c r="B108" s="190">
        <f t="shared" si="2"/>
        <v>44925</v>
      </c>
      <c r="C108" s="147">
        <f>+'[1] FOEX px'!AL56</f>
        <v>858.16846153846154</v>
      </c>
      <c r="D108" s="147">
        <f>+'[1] FOEX px'!AM56</f>
        <v>918.53461538461545</v>
      </c>
      <c r="E108" s="147">
        <f>+'[1] FOEX px'!AN56</f>
        <v>1379.9892307692307</v>
      </c>
      <c r="F108" s="147">
        <f>+'[1] FOEX px'!AO56</f>
        <v>1463.3276923076921</v>
      </c>
      <c r="G108" s="83">
        <f t="shared" si="10"/>
        <v>-521.8207692307692</v>
      </c>
      <c r="H108" s="83">
        <f t="shared" si="11"/>
        <v>60.366153846153907</v>
      </c>
      <c r="I108" s="142">
        <f t="shared" si="12"/>
        <v>83.338461538461388</v>
      </c>
      <c r="J108" s="8">
        <f t="shared" si="7"/>
        <v>2022</v>
      </c>
      <c r="K108" s="405">
        <f t="shared" si="13"/>
        <v>44925</v>
      </c>
      <c r="L108" s="8">
        <f>+'[2]CERV VALOR'!AG44</f>
        <v>88.558461538461557</v>
      </c>
      <c r="M108" s="8"/>
      <c r="N108" s="8"/>
      <c r="O108" s="8"/>
      <c r="Y108" s="33"/>
      <c r="Z108" s="8"/>
      <c r="AA108" s="33"/>
      <c r="AB108" s="8"/>
      <c r="AC108" s="8"/>
      <c r="AD108" s="33"/>
      <c r="AE108" s="8"/>
      <c r="AF108" s="8"/>
      <c r="AG108" s="8"/>
      <c r="AH108" s="8"/>
      <c r="AI108" s="8"/>
      <c r="AJ108" s="8"/>
      <c r="AK108" s="8"/>
      <c r="AL108" s="8"/>
      <c r="AM108" s="8"/>
      <c r="AN108" s="8"/>
    </row>
    <row r="109" spans="1:40" ht="15.75">
      <c r="A109" s="33">
        <f>+'[1] FOEX px'!AJ57</f>
        <v>45016</v>
      </c>
      <c r="B109" s="190">
        <f t="shared" si="2"/>
        <v>45016</v>
      </c>
      <c r="C109" s="147">
        <f>+'[1] FOEX px'!AL57</f>
        <v>756.11769230769255</v>
      </c>
      <c r="D109" s="147">
        <f>+'[1] FOEX px'!AM57</f>
        <v>898.82692307692309</v>
      </c>
      <c r="E109" s="147">
        <f>+'[1] FOEX px'!AN57</f>
        <v>1337.2969230769231</v>
      </c>
      <c r="F109" s="147">
        <f>+'[1] FOEX px'!AO57</f>
        <v>1398.6238461538462</v>
      </c>
      <c r="G109" s="83">
        <f t="shared" si="10"/>
        <v>-581.17923076923057</v>
      </c>
      <c r="H109" s="83">
        <f t="shared" si="11"/>
        <v>142.70923076923054</v>
      </c>
      <c r="I109" s="142">
        <f t="shared" si="12"/>
        <v>61.326923076923094</v>
      </c>
      <c r="J109" s="8">
        <f t="shared" si="7"/>
        <v>2023</v>
      </c>
      <c r="K109" s="405">
        <f t="shared" si="13"/>
        <v>45016</v>
      </c>
      <c r="L109" s="8">
        <f>+'[2]CERV VALOR'!AG45</f>
        <v>82.160923076923055</v>
      </c>
      <c r="M109" s="8"/>
      <c r="N109" s="8"/>
      <c r="O109" s="8"/>
      <c r="Y109" s="33"/>
      <c r="Z109" s="8"/>
      <c r="AA109" s="33"/>
      <c r="AB109" s="8"/>
      <c r="AC109" s="8"/>
      <c r="AD109" s="33"/>
      <c r="AE109" s="8"/>
      <c r="AF109" s="8"/>
      <c r="AG109" s="8"/>
      <c r="AH109" s="8"/>
      <c r="AI109" s="8"/>
      <c r="AJ109" s="8"/>
      <c r="AK109" s="8"/>
      <c r="AL109" s="8"/>
      <c r="AM109" s="8"/>
      <c r="AN109" s="8"/>
    </row>
    <row r="110" spans="1:40" ht="15.75">
      <c r="A110" s="33">
        <f>+'[1] FOEX px'!AJ58</f>
        <v>45107</v>
      </c>
      <c r="B110" s="190">
        <f t="shared" si="2"/>
        <v>45107</v>
      </c>
      <c r="C110" s="147">
        <f>+'[1] FOEX px'!AL58</f>
        <v>518.40384615384608</v>
      </c>
      <c r="D110" s="147">
        <f>+'[1] FOEX px'!AM58</f>
        <v>706.83461538461529</v>
      </c>
      <c r="E110" s="147">
        <f>+'[1] FOEX px'!AN58</f>
        <v>1096.6100000000001</v>
      </c>
      <c r="F110" s="147">
        <f>+'[1] FOEX px'!AO58</f>
        <v>1306.8592307692306</v>
      </c>
      <c r="G110" s="83">
        <f t="shared" si="10"/>
        <v>-578.20615384615405</v>
      </c>
      <c r="H110" s="83">
        <f t="shared" si="11"/>
        <v>188.43076923076922</v>
      </c>
      <c r="I110" s="142">
        <f t="shared" si="12"/>
        <v>210.24923076923051</v>
      </c>
      <c r="J110" s="8">
        <f t="shared" si="7"/>
        <v>2023</v>
      </c>
      <c r="K110" s="405">
        <f t="shared" si="13"/>
        <v>45107</v>
      </c>
      <c r="L110" s="8">
        <f>+'[2]CERV VALOR'!AG46</f>
        <v>77.84061538461539</v>
      </c>
      <c r="M110" s="8"/>
      <c r="N110" s="8"/>
      <c r="O110" s="8"/>
      <c r="Y110" s="33"/>
      <c r="Z110" s="8"/>
      <c r="AA110" s="33"/>
      <c r="AB110" s="8"/>
      <c r="AC110" s="8"/>
      <c r="AD110" s="33"/>
      <c r="AE110" s="8"/>
      <c r="AF110" s="8"/>
      <c r="AG110" s="8"/>
      <c r="AH110" s="8"/>
      <c r="AI110" s="8"/>
      <c r="AJ110" s="8"/>
      <c r="AK110" s="8"/>
      <c r="AL110" s="8"/>
      <c r="AM110" s="8"/>
      <c r="AN110" s="8"/>
    </row>
    <row r="111" spans="1:40" ht="15.75">
      <c r="A111" s="33">
        <f>+'[1] FOEX px'!AJ59</f>
        <v>45199</v>
      </c>
      <c r="B111" s="190">
        <f t="shared" si="2"/>
        <v>45199</v>
      </c>
      <c r="C111" s="147">
        <f>+'[1] FOEX px'!AL59</f>
        <v>532.34230769230771</v>
      </c>
      <c r="D111" s="147">
        <f>+'[1] FOEX px'!AM59</f>
        <v>664.98153846153843</v>
      </c>
      <c r="E111" s="147">
        <f>+'[1] FOEX px'!AN59</f>
        <v>834.93999999999994</v>
      </c>
      <c r="F111" s="147">
        <f>+'[1] FOEX px'!AO59</f>
        <v>1175.0146153846156</v>
      </c>
      <c r="G111" s="83">
        <f>+C111-E111</f>
        <v>-302.59769230769223</v>
      </c>
      <c r="H111" s="83">
        <f t="shared" si="11"/>
        <v>132.63923076923072</v>
      </c>
      <c r="I111" s="142">
        <f t="shared" si="12"/>
        <v>340.07461538461564</v>
      </c>
      <c r="J111" s="8">
        <f t="shared" si="7"/>
        <v>2023</v>
      </c>
      <c r="K111" s="405">
        <f t="shared" si="13"/>
        <v>45199</v>
      </c>
      <c r="L111" s="8">
        <f>+'[2]CERV VALOR'!AG47</f>
        <v>85.9244615384616</v>
      </c>
      <c r="M111" s="8"/>
      <c r="N111" s="8"/>
      <c r="O111" s="8"/>
      <c r="Y111" s="33"/>
      <c r="Z111" s="8"/>
      <c r="AA111" s="33"/>
      <c r="AB111" s="8"/>
      <c r="AC111" s="8"/>
      <c r="AD111" s="33"/>
      <c r="AE111" s="8"/>
      <c r="AF111" s="8"/>
      <c r="AG111" s="8"/>
      <c r="AH111" s="8"/>
      <c r="AI111" s="8"/>
      <c r="AJ111" s="8"/>
      <c r="AK111" s="8"/>
      <c r="AL111" s="8"/>
      <c r="AM111" s="8"/>
      <c r="AN111" s="8"/>
    </row>
    <row r="112" spans="1:40" ht="15.75">
      <c r="A112" s="33">
        <f>+'[1] FOEX px'!AJ60</f>
        <v>45291</v>
      </c>
      <c r="B112" s="190">
        <f t="shared" si="2"/>
        <v>45291</v>
      </c>
      <c r="C112" s="147">
        <f>+'[1] FOEX px'!AL60</f>
        <v>619.88076923076915</v>
      </c>
      <c r="D112" s="147">
        <f>+'[1] FOEX px'!AM60</f>
        <v>638.68153846153848</v>
      </c>
      <c r="E112" s="147">
        <f>+'[1] FOEX px'!AN60</f>
        <v>908.11461538461538</v>
      </c>
      <c r="F112" s="147">
        <f>+'[1] FOEX px'!AO60</f>
        <v>1191.4276923076923</v>
      </c>
      <c r="G112" s="83">
        <f t="shared" si="10"/>
        <v>-288.23384615384623</v>
      </c>
      <c r="H112" s="83">
        <f t="shared" si="11"/>
        <v>18.800769230769333</v>
      </c>
      <c r="I112" s="142">
        <f t="shared" si="12"/>
        <v>283.31307692307689</v>
      </c>
      <c r="J112" s="8">
        <f t="shared" si="7"/>
        <v>2023</v>
      </c>
      <c r="K112" s="405">
        <f t="shared" si="13"/>
        <v>45291</v>
      </c>
      <c r="L112" s="8">
        <f>+'[2]CERV VALOR'!AG48</f>
        <v>82.795384615384592</v>
      </c>
      <c r="M112" s="8"/>
      <c r="N112" s="8"/>
      <c r="O112" s="8"/>
      <c r="Y112" s="33"/>
      <c r="Z112" s="8"/>
      <c r="AA112" s="33"/>
      <c r="AB112" s="8"/>
      <c r="AC112" s="8"/>
      <c r="AD112" s="33"/>
      <c r="AE112" s="8"/>
      <c r="AF112" s="8"/>
      <c r="AG112" s="8"/>
      <c r="AH112" s="8"/>
      <c r="AI112" s="8"/>
      <c r="AJ112" s="8"/>
      <c r="AK112" s="8"/>
      <c r="AL112" s="8"/>
      <c r="AM112" s="8"/>
      <c r="AN112" s="8"/>
    </row>
    <row r="113" spans="1:40" ht="15.75">
      <c r="A113" s="33">
        <f>+'[1] FOEX px'!AJ61</f>
        <v>45382</v>
      </c>
      <c r="B113" s="190">
        <f t="shared" si="2"/>
        <v>45382</v>
      </c>
      <c r="C113" s="147">
        <f>+'[1] FOEX px'!AL61</f>
        <v>656.24416666666673</v>
      </c>
      <c r="D113" s="147">
        <f>+'[1] FOEX px'!AM61</f>
        <v>738.02333333333343</v>
      </c>
      <c r="E113" s="147">
        <f>+'[1] FOEX px'!AN61</f>
        <v>1111.7558333333334</v>
      </c>
      <c r="F113" s="147">
        <f>+'[1] FOEX px'!AO61</f>
        <v>1322.041666666667</v>
      </c>
      <c r="G113" s="83">
        <f t="shared" si="10"/>
        <v>-455.51166666666666</v>
      </c>
      <c r="H113" s="83">
        <f t="shared" si="11"/>
        <v>81.779166666666697</v>
      </c>
      <c r="I113" s="142">
        <f t="shared" si="12"/>
        <v>210.28583333333358</v>
      </c>
      <c r="J113" s="8">
        <f t="shared" si="7"/>
        <v>2024</v>
      </c>
      <c r="K113" s="405">
        <f t="shared" si="13"/>
        <v>45382</v>
      </c>
      <c r="L113" s="8">
        <f>+'[2]CERV VALOR'!AG49</f>
        <v>81.771692307692305</v>
      </c>
      <c r="M113" s="8"/>
      <c r="N113" s="8"/>
      <c r="O113" s="8"/>
      <c r="Y113" s="33"/>
      <c r="Z113" s="8"/>
      <c r="AA113" s="33"/>
      <c r="AB113" s="8"/>
      <c r="AC113" s="8"/>
      <c r="AD113" s="33"/>
      <c r="AE113" s="8"/>
      <c r="AF113" s="8"/>
      <c r="AG113" s="8"/>
      <c r="AH113" s="8"/>
      <c r="AI113" s="8"/>
      <c r="AJ113" s="8"/>
      <c r="AK113" s="8"/>
      <c r="AL113" s="8"/>
      <c r="AM113" s="8"/>
      <c r="AN113" s="8"/>
    </row>
    <row r="114" spans="1:40" s="148" customFormat="1" ht="15.75">
      <c r="A114" s="33">
        <f>+'[1] FOEX px'!AJ62</f>
        <v>45473</v>
      </c>
      <c r="B114" s="190">
        <f t="shared" si="2"/>
        <v>45473</v>
      </c>
      <c r="C114" s="147">
        <f>+'[1] FOEX px'!AL62</f>
        <v>718.4</v>
      </c>
      <c r="D114" s="147">
        <f>+'[1] FOEX px'!AM62</f>
        <v>687.32642857142855</v>
      </c>
      <c r="E114" s="147">
        <f>+'[1] FOEX px'!AN62</f>
        <v>1344.4392857142855</v>
      </c>
      <c r="F114" s="147">
        <f>+'[1] FOEX px'!AO62</f>
        <v>1497.2428571428572</v>
      </c>
      <c r="G114" s="83">
        <f t="shared" si="10"/>
        <v>-626.03928571428548</v>
      </c>
      <c r="H114" s="83">
        <f t="shared" si="11"/>
        <v>-31.073571428571427</v>
      </c>
      <c r="I114" s="142">
        <f t="shared" si="12"/>
        <v>152.80357142857179</v>
      </c>
      <c r="J114" s="8">
        <f t="shared" si="7"/>
        <v>2024</v>
      </c>
      <c r="K114" s="405">
        <f t="shared" si="13"/>
        <v>45473</v>
      </c>
      <c r="L114" s="8">
        <f>+[2]Sheet1!AI50</f>
        <v>85.029076923076929</v>
      </c>
      <c r="M114" s="8"/>
      <c r="N114" s="8"/>
      <c r="O114" s="8"/>
      <c r="Y114" s="33"/>
      <c r="Z114" s="8"/>
      <c r="AA114" s="33"/>
      <c r="AB114" s="8"/>
      <c r="AC114" s="8"/>
      <c r="AD114" s="33"/>
      <c r="AE114" s="8"/>
      <c r="AF114" s="8"/>
      <c r="AG114" s="8"/>
      <c r="AH114" s="8"/>
      <c r="AI114" s="8"/>
      <c r="AJ114" s="8"/>
      <c r="AK114" s="8"/>
      <c r="AL114" s="8"/>
      <c r="AM114" s="8"/>
      <c r="AN114" s="8"/>
    </row>
    <row r="115" spans="1:40" ht="15.75">
      <c r="A115" s="33">
        <f>+'[1] FOEX px'!AJ63</f>
        <v>45565</v>
      </c>
      <c r="B115" s="190">
        <f>+A115</f>
        <v>45565</v>
      </c>
      <c r="C115" s="147">
        <f>+'[1] FOEX px'!AL63</f>
        <v>641.57923076923078</v>
      </c>
      <c r="D115" s="147">
        <f>+'[1] FOEX px'!AM63</f>
        <v>773.17384615384617</v>
      </c>
      <c r="E115" s="147">
        <f>+'[1] FOEX px'!AN63</f>
        <v>1375.0138461538461</v>
      </c>
      <c r="F115" s="147">
        <f>+'[1] FOEX px'!AO63</f>
        <v>1605.4046153846155</v>
      </c>
      <c r="G115" s="83">
        <f>+C115-E115</f>
        <v>-733.43461538461531</v>
      </c>
      <c r="H115" s="83">
        <f>D115-C115</f>
        <v>131.59461538461539</v>
      </c>
      <c r="I115" s="142">
        <f>+F115-E115</f>
        <v>230.39076923076937</v>
      </c>
      <c r="J115" s="8">
        <f>+YEAR(A115)</f>
        <v>2024</v>
      </c>
      <c r="K115" s="405">
        <f t="shared" si="13"/>
        <v>45565</v>
      </c>
      <c r="L115" s="8">
        <f>+[2]Sheet1!AI51</f>
        <v>78.708484848484829</v>
      </c>
      <c r="M115" s="8"/>
      <c r="N115" s="8"/>
      <c r="O115" s="8"/>
      <c r="Y115" s="33"/>
      <c r="Z115" s="8"/>
      <c r="AA115" s="33"/>
      <c r="AB115" s="8"/>
      <c r="AC115" s="8"/>
      <c r="AD115" s="33"/>
      <c r="AE115" s="8"/>
      <c r="AF115" s="8"/>
      <c r="AG115" s="8"/>
      <c r="AH115" s="8"/>
      <c r="AI115" s="8"/>
      <c r="AJ115" s="8"/>
      <c r="AK115" s="8"/>
      <c r="AL115" s="8"/>
      <c r="AM115" s="8"/>
      <c r="AN115" s="8"/>
    </row>
    <row r="116" spans="1:40" ht="15.75">
      <c r="A116" s="416">
        <f>+'[1] FOEX px'!AJ64</f>
        <v>45657</v>
      </c>
      <c r="B116" s="405">
        <f t="shared" si="2"/>
        <v>45657</v>
      </c>
      <c r="C116" s="417">
        <f>+'[1] FOEX px'!AL64</f>
        <v>552.50076923076927</v>
      </c>
      <c r="D116" s="417">
        <f>+'[1] FOEX px'!AM64</f>
        <v>768.45846153846151</v>
      </c>
      <c r="E116" s="417">
        <f>+'[1] FOEX px'!AN64</f>
        <v>1106.1423076923077</v>
      </c>
      <c r="F116" s="417">
        <f>+'[1] FOEX px'!AO64</f>
        <v>1523.1123076923077</v>
      </c>
      <c r="G116" s="406">
        <f t="shared" ref="G116:G128" si="14">+C116-E116</f>
        <v>-553.6415384615384</v>
      </c>
      <c r="H116" s="406">
        <f t="shared" ref="H116:H128" si="15">D116-C116</f>
        <v>215.95769230769224</v>
      </c>
      <c r="I116" s="407">
        <f t="shared" ref="I116:I128" si="16">+F116-E116</f>
        <v>416.97</v>
      </c>
      <c r="J116" s="8">
        <f t="shared" si="7"/>
        <v>2024</v>
      </c>
      <c r="K116" s="405">
        <f t="shared" si="13"/>
        <v>45657</v>
      </c>
      <c r="L116" s="8">
        <f>+[2]Sheet1!AI52</f>
        <v>74.005606060606056</v>
      </c>
      <c r="M116" s="8"/>
      <c r="N116" s="8"/>
      <c r="O116" s="8"/>
      <c r="Y116" s="33"/>
      <c r="Z116" s="8"/>
      <c r="AA116" s="33"/>
      <c r="AB116" s="8"/>
      <c r="AC116" s="8"/>
      <c r="AD116" s="33"/>
      <c r="AE116" s="8"/>
      <c r="AF116" s="8"/>
      <c r="AG116" s="8"/>
      <c r="AH116" s="8"/>
      <c r="AI116" s="8"/>
      <c r="AJ116" s="8"/>
      <c r="AK116" s="8"/>
      <c r="AL116" s="8"/>
      <c r="AM116" s="8"/>
      <c r="AN116" s="8"/>
    </row>
    <row r="117" spans="1:40" ht="15.75">
      <c r="A117" s="416">
        <f>+'[1] FOEX px'!AJ65</f>
        <v>45747</v>
      </c>
      <c r="B117" s="405">
        <f t="shared" ref="B117:B118" si="17">+A117</f>
        <v>45747</v>
      </c>
      <c r="C117" s="417">
        <f>+'[1] FOEX px'!AL65</f>
        <v>528.83615384615382</v>
      </c>
      <c r="D117" s="417">
        <f>+'[1] FOEX px'!AM65</f>
        <v>791.52230769230778</v>
      </c>
      <c r="E117" s="417">
        <f>+'[1] FOEX px'!AN65</f>
        <v>1064.2823076923075</v>
      </c>
      <c r="F117" s="417">
        <f>+'[1] FOEX px'!AO65</f>
        <v>1500.5407692307695</v>
      </c>
      <c r="G117" s="406">
        <f t="shared" ref="G117:G118" si="18">+C117-E117</f>
        <v>-535.44615384615372</v>
      </c>
      <c r="H117" s="406">
        <f t="shared" ref="H117:H118" si="19">D117-C117</f>
        <v>262.68615384615396</v>
      </c>
      <c r="I117" s="407">
        <f t="shared" ref="I117:I118" si="20">+F117-E117</f>
        <v>436.25846153846192</v>
      </c>
      <c r="J117" s="8">
        <f t="shared" ref="J117:J118" si="21">+YEAR(A117)</f>
        <v>2025</v>
      </c>
      <c r="K117" s="405">
        <f t="shared" ref="K117:K118" si="22">+B117</f>
        <v>45747</v>
      </c>
      <c r="L117" s="8">
        <f>+[2]Sheet1!AI53</f>
        <v>74.97218749999999</v>
      </c>
      <c r="M117" s="8"/>
      <c r="N117" s="8"/>
      <c r="O117" s="8"/>
      <c r="Y117" s="33"/>
      <c r="Z117" s="8"/>
      <c r="AA117" s="33"/>
      <c r="AB117" s="8"/>
      <c r="AC117" s="8"/>
      <c r="AD117" s="33"/>
      <c r="AE117" s="8"/>
      <c r="AF117" s="8"/>
      <c r="AG117" s="8"/>
      <c r="AH117" s="8"/>
      <c r="AI117" s="8"/>
      <c r="AJ117" s="8"/>
      <c r="AK117" s="8"/>
      <c r="AL117" s="8"/>
      <c r="AM117" s="8"/>
      <c r="AN117" s="8"/>
    </row>
    <row r="118" spans="1:40" ht="15.75">
      <c r="A118" s="416">
        <f>+'[1] FOEX px'!AJ66</f>
        <v>45838</v>
      </c>
      <c r="B118" s="405">
        <f t="shared" si="17"/>
        <v>45838</v>
      </c>
      <c r="C118" s="417">
        <f>+'[1] FOEX px'!AL66</f>
        <v>552.3561538461538</v>
      </c>
      <c r="D118" s="417">
        <f>+'[1] FOEX px'!AM66</f>
        <v>582.24076923076927</v>
      </c>
      <c r="E118" s="417">
        <f>+'[1] FOEX px'!AN66</f>
        <v>1175.4976923076922</v>
      </c>
      <c r="F118" s="417">
        <f>+'[1] FOEX px'!AO66</f>
        <v>1217.5630769230772</v>
      </c>
      <c r="G118" s="406">
        <f t="shared" si="18"/>
        <v>-623.1415384615384</v>
      </c>
      <c r="H118" s="406">
        <f t="shared" si="19"/>
        <v>29.884615384615472</v>
      </c>
      <c r="I118" s="407">
        <f t="shared" si="20"/>
        <v>42.065384615385028</v>
      </c>
      <c r="J118" s="8">
        <f t="shared" si="21"/>
        <v>2025</v>
      </c>
      <c r="K118" s="405">
        <f t="shared" si="22"/>
        <v>45838</v>
      </c>
      <c r="L118" s="8">
        <f>+[2]Sheet1!AI54</f>
        <v>66.731076923076927</v>
      </c>
      <c r="M118" s="8"/>
      <c r="N118" s="8"/>
      <c r="O118" s="8"/>
      <c r="Y118" s="33"/>
      <c r="Z118" s="8"/>
      <c r="AA118" s="33"/>
      <c r="AB118" s="8"/>
      <c r="AC118" s="8"/>
      <c r="AD118" s="33"/>
      <c r="AE118" s="8"/>
      <c r="AF118" s="8"/>
      <c r="AG118" s="8"/>
      <c r="AH118" s="8"/>
      <c r="AI118" s="8"/>
      <c r="AJ118" s="8"/>
      <c r="AK118" s="8"/>
      <c r="AL118" s="8"/>
      <c r="AM118" s="8"/>
      <c r="AN118" s="8"/>
    </row>
    <row r="119" spans="1:40" ht="15.75">
      <c r="A119" s="416">
        <f>+'[1] FOEX px'!AJ67</f>
        <v>45930</v>
      </c>
      <c r="B119" s="405">
        <f t="shared" ref="B119:B121" si="23">+A119</f>
        <v>45930</v>
      </c>
      <c r="C119" s="417">
        <f>+'[1] FOEX px'!AL67</f>
        <v>503.11461538461538</v>
      </c>
      <c r="D119" s="417">
        <f>+'[1] FOEX px'!AM67</f>
        <v>0</v>
      </c>
      <c r="E119" s="417">
        <f>+'[1] FOEX px'!AN67</f>
        <v>1034.7623076923078</v>
      </c>
      <c r="F119" s="417">
        <f>+'[1] FOEX px'!AO67</f>
        <v>1194.5512690194423</v>
      </c>
      <c r="G119" s="406">
        <f t="shared" ref="G119:G121" si="24">+C119-E119</f>
        <v>-531.64769230769241</v>
      </c>
      <c r="H119" s="406">
        <f t="shared" ref="H119:H121" si="25">D119-C119</f>
        <v>-503.11461538461538</v>
      </c>
      <c r="I119" s="407">
        <f t="shared" ref="I119:I121" si="26">+F119-E119</f>
        <v>159.78896132713453</v>
      </c>
      <c r="J119" s="8">
        <f t="shared" si="7"/>
        <v>2025</v>
      </c>
      <c r="K119" s="405">
        <f t="shared" si="13"/>
        <v>45930</v>
      </c>
      <c r="L119" s="8">
        <f>+[2]Sheet1!AI55</f>
        <v>68.165000000000006</v>
      </c>
      <c r="M119" s="8"/>
      <c r="N119" s="8"/>
      <c r="O119" s="8"/>
      <c r="Y119" s="33"/>
      <c r="Z119" s="8"/>
      <c r="AA119" s="33"/>
      <c r="AB119" s="8"/>
      <c r="AC119" s="8"/>
      <c r="AD119" s="33"/>
      <c r="AE119" s="8"/>
      <c r="AF119" s="8"/>
      <c r="AG119" s="8"/>
      <c r="AH119" s="8"/>
      <c r="AI119" s="8"/>
      <c r="AJ119" s="8"/>
      <c r="AK119" s="8"/>
      <c r="AL119" s="8"/>
      <c r="AM119" s="8"/>
      <c r="AN119" s="8"/>
    </row>
    <row r="120" spans="1:40" ht="15.75">
      <c r="A120" s="416">
        <f>+'[1] FOEX px'!AJ68</f>
        <v>46022</v>
      </c>
      <c r="B120" s="405">
        <f t="shared" si="23"/>
        <v>46022</v>
      </c>
      <c r="C120" s="417">
        <f>+'[1] FOEX px'!AL68</f>
        <v>532.99076923076927</v>
      </c>
      <c r="D120" s="417">
        <f>+'[1] FOEX px'!AM68</f>
        <v>0</v>
      </c>
      <c r="E120" s="417">
        <f>+'[1] FOEX px'!AN68</f>
        <v>1076.8384615384616</v>
      </c>
      <c r="F120" s="417">
        <f>+'[1] FOEX px'!AO68</f>
        <v>1236.6274228655961</v>
      </c>
      <c r="G120" s="406">
        <f t="shared" si="24"/>
        <v>-543.84769230769234</v>
      </c>
      <c r="H120" s="406">
        <f t="shared" si="25"/>
        <v>-532.99076923076927</v>
      </c>
      <c r="I120" s="407">
        <f t="shared" si="26"/>
        <v>159.78896132713453</v>
      </c>
      <c r="J120" s="8">
        <f t="shared" si="7"/>
        <v>2025</v>
      </c>
      <c r="K120" s="405">
        <f t="shared" si="13"/>
        <v>46022</v>
      </c>
      <c r="L120" s="8">
        <f>+[2]Sheet1!AI56</f>
        <v>63.06454545454546</v>
      </c>
      <c r="M120" s="8"/>
      <c r="N120" s="8"/>
      <c r="O120" s="8"/>
      <c r="Y120" s="33"/>
      <c r="Z120" s="8"/>
      <c r="AA120" s="33"/>
      <c r="AB120" s="8"/>
      <c r="AC120" s="8"/>
      <c r="AD120" s="33"/>
      <c r="AE120" s="8"/>
      <c r="AF120" s="8"/>
      <c r="AG120" s="8"/>
      <c r="AH120" s="8"/>
      <c r="AI120" s="8"/>
      <c r="AJ120" s="8"/>
      <c r="AK120" s="8"/>
      <c r="AL120" s="8"/>
      <c r="AM120" s="8"/>
      <c r="AN120" s="8"/>
    </row>
    <row r="121" spans="1:40" ht="15.75">
      <c r="A121" s="416">
        <f>+'[1] FOEX px'!AJ69</f>
        <v>46112</v>
      </c>
      <c r="B121" s="405">
        <f t="shared" si="23"/>
        <v>46112</v>
      </c>
      <c r="C121" s="417">
        <f>+'[1] FOEX px'!AL69</f>
        <v>578.37538461538452</v>
      </c>
      <c r="D121" s="417">
        <f>+'[1] FOEX px'!AM69</f>
        <v>0</v>
      </c>
      <c r="E121" s="417">
        <f>+'[1] FOEX px'!AN69</f>
        <v>1138.2123899067983</v>
      </c>
      <c r="F121" s="417">
        <f>+'[1] FOEX px'!AO69</f>
        <v>1298.0013512339328</v>
      </c>
      <c r="G121" s="406">
        <f t="shared" si="24"/>
        <v>-559.83700529141379</v>
      </c>
      <c r="H121" s="406">
        <f t="shared" si="25"/>
        <v>-578.37538461538452</v>
      </c>
      <c r="I121" s="407">
        <f t="shared" si="26"/>
        <v>159.78896132713453</v>
      </c>
      <c r="J121" s="8">
        <f t="shared" si="7"/>
        <v>2026</v>
      </c>
      <c r="K121" s="405">
        <f t="shared" si="13"/>
        <v>46112</v>
      </c>
      <c r="L121" s="8">
        <v>68</v>
      </c>
      <c r="M121" s="8"/>
      <c r="N121" s="8"/>
      <c r="O121" s="8"/>
      <c r="Y121" s="33"/>
      <c r="Z121" s="8"/>
      <c r="AA121" s="33"/>
      <c r="AB121" s="8"/>
      <c r="AC121" s="8"/>
      <c r="AD121" s="33"/>
      <c r="AE121" s="8"/>
      <c r="AF121" s="8"/>
      <c r="AG121" s="8"/>
      <c r="AH121" s="8"/>
      <c r="AI121" s="8"/>
      <c r="AJ121" s="8"/>
      <c r="AK121" s="8"/>
      <c r="AL121" s="8"/>
      <c r="AM121" s="8"/>
      <c r="AN121" s="8"/>
    </row>
    <row r="122" spans="1:40" ht="15.75">
      <c r="A122" s="143">
        <f>+'[1] FOEX px'!AJ70</f>
        <v>46203</v>
      </c>
      <c r="B122" s="191">
        <f t="shared" si="2"/>
        <v>46203</v>
      </c>
      <c r="C122" s="144">
        <f>+'[1] FOEX px'!AL70</f>
        <v>578.37538461538452</v>
      </c>
      <c r="D122" s="144">
        <f>+'[1] FOEX px'!AM70</f>
        <v>696.77381635672009</v>
      </c>
      <c r="E122" s="144">
        <f>+'[1] FOEX px'!AN70</f>
        <v>1110.1264701168091</v>
      </c>
      <c r="F122" s="144">
        <f>+'[1] FOEX px'!AO70</f>
        <v>1269.9154314439434</v>
      </c>
      <c r="G122" s="145">
        <f t="shared" si="14"/>
        <v>-531.75108550142454</v>
      </c>
      <c r="H122" s="145">
        <f t="shared" si="15"/>
        <v>118.39843174133557</v>
      </c>
      <c r="I122" s="146">
        <f t="shared" si="16"/>
        <v>159.7889613271343</v>
      </c>
      <c r="J122" s="8">
        <f t="shared" si="7"/>
        <v>2026</v>
      </c>
      <c r="K122" s="405">
        <f t="shared" si="13"/>
        <v>46203</v>
      </c>
      <c r="L122" s="149">
        <v>70</v>
      </c>
      <c r="M122" s="8"/>
      <c r="N122" s="8"/>
      <c r="O122" s="8"/>
      <c r="Y122" s="33"/>
      <c r="Z122" s="8"/>
      <c r="AA122" s="33"/>
      <c r="AB122" s="8"/>
      <c r="AC122" s="8"/>
      <c r="AD122" s="33"/>
      <c r="AE122" s="8"/>
      <c r="AF122" s="8"/>
      <c r="AG122" s="8"/>
      <c r="AH122" s="8"/>
      <c r="AI122" s="8"/>
      <c r="AJ122" s="8"/>
      <c r="AK122" s="8"/>
      <c r="AL122" s="8"/>
      <c r="AM122" s="8"/>
      <c r="AN122" s="8"/>
    </row>
    <row r="123" spans="1:40" ht="15.75">
      <c r="A123" s="143">
        <f>+'[1] FOEX px'!AJ71</f>
        <v>46295</v>
      </c>
      <c r="B123" s="191">
        <f t="shared" si="2"/>
        <v>46295</v>
      </c>
      <c r="C123" s="144">
        <f>+'[1] FOEX px'!AL71</f>
        <v>578.37538461538452</v>
      </c>
      <c r="D123" s="144">
        <f>+'[1] FOEX px'!AM71</f>
        <v>696.77381635672009</v>
      </c>
      <c r="E123" s="144">
        <f>+'[1] FOEX px'!AN71</f>
        <v>1110.1264701168091</v>
      </c>
      <c r="F123" s="144">
        <f>+'[1] FOEX px'!AO71</f>
        <v>1269.9154314439434</v>
      </c>
      <c r="G123" s="145">
        <f t="shared" si="14"/>
        <v>-531.75108550142454</v>
      </c>
      <c r="H123" s="145">
        <f t="shared" si="15"/>
        <v>118.39843174133557</v>
      </c>
      <c r="I123" s="146">
        <f t="shared" si="16"/>
        <v>159.7889613271343</v>
      </c>
      <c r="J123" s="8">
        <f t="shared" si="7"/>
        <v>2026</v>
      </c>
      <c r="K123" s="405">
        <f t="shared" si="13"/>
        <v>46295</v>
      </c>
      <c r="L123" s="149">
        <v>75</v>
      </c>
      <c r="M123" s="8"/>
      <c r="O123" s="20"/>
      <c r="R123" s="20"/>
      <c r="Y123" s="33"/>
      <c r="Z123" s="8"/>
      <c r="AA123" s="33"/>
      <c r="AB123" s="8"/>
      <c r="AC123" s="8"/>
      <c r="AD123" s="33"/>
      <c r="AE123" s="8"/>
      <c r="AF123" s="8"/>
      <c r="AG123" s="8"/>
      <c r="AH123" s="8"/>
      <c r="AI123" s="8"/>
      <c r="AJ123" s="8"/>
      <c r="AK123" s="8"/>
      <c r="AL123" s="8"/>
      <c r="AM123" s="8"/>
      <c r="AN123" s="8"/>
    </row>
    <row r="124" spans="1:40" ht="15.75">
      <c r="A124" s="143">
        <f>+'[1] FOEX px'!AJ72</f>
        <v>46387</v>
      </c>
      <c r="B124" s="191">
        <f t="shared" si="2"/>
        <v>46387</v>
      </c>
      <c r="C124" s="144">
        <f>+'[1] FOEX px'!AL72</f>
        <v>578.37538461538452</v>
      </c>
      <c r="D124" s="144">
        <f>+'[1] FOEX px'!AM72</f>
        <v>696.77381635672009</v>
      </c>
      <c r="E124" s="144">
        <f>+'[1] FOEX px'!AN72</f>
        <v>1110.1264701168091</v>
      </c>
      <c r="F124" s="144">
        <f>+'[1] FOEX px'!AO72</f>
        <v>1269.9154314439434</v>
      </c>
      <c r="G124" s="145">
        <f t="shared" si="14"/>
        <v>-531.75108550142454</v>
      </c>
      <c r="H124" s="145">
        <f t="shared" si="15"/>
        <v>118.39843174133557</v>
      </c>
      <c r="I124" s="146">
        <f t="shared" si="16"/>
        <v>159.7889613271343</v>
      </c>
      <c r="J124" s="8">
        <f t="shared" si="7"/>
        <v>2026</v>
      </c>
      <c r="K124" s="405">
        <f t="shared" si="13"/>
        <v>46387</v>
      </c>
      <c r="L124" s="149">
        <f t="shared" ref="L124:L128" si="27">+L123</f>
        <v>75</v>
      </c>
      <c r="M124" s="8"/>
      <c r="Y124" s="33"/>
      <c r="Z124" s="8"/>
      <c r="AA124" s="33"/>
      <c r="AB124" s="8"/>
      <c r="AC124" s="8"/>
      <c r="AD124" s="33"/>
      <c r="AE124" s="8"/>
      <c r="AF124" s="8"/>
      <c r="AG124" s="8"/>
      <c r="AH124" s="8"/>
      <c r="AI124" s="8"/>
      <c r="AJ124" s="8"/>
      <c r="AK124" s="8"/>
      <c r="AL124" s="8"/>
      <c r="AM124" s="8"/>
      <c r="AN124" s="8"/>
    </row>
    <row r="125" spans="1:40" ht="15.75">
      <c r="A125" s="143">
        <f>+'[1] FOEX px'!AJ73</f>
        <v>46477</v>
      </c>
      <c r="B125" s="191">
        <f t="shared" si="2"/>
        <v>46477</v>
      </c>
      <c r="C125" s="144">
        <f>+'[1] FOEX px'!AL73</f>
        <v>578.37538461538452</v>
      </c>
      <c r="D125" s="144">
        <f>+'[1] FOEX px'!AM73</f>
        <v>696.77381635672009</v>
      </c>
      <c r="E125" s="144">
        <f>+'[1] FOEX px'!AN73</f>
        <v>1110.1264701168091</v>
      </c>
      <c r="F125" s="144">
        <f>+'[1] FOEX px'!AO73</f>
        <v>1269.9154314439434</v>
      </c>
      <c r="G125" s="145">
        <f t="shared" si="14"/>
        <v>-531.75108550142454</v>
      </c>
      <c r="H125" s="145">
        <f t="shared" si="15"/>
        <v>118.39843174133557</v>
      </c>
      <c r="I125" s="146">
        <f t="shared" si="16"/>
        <v>159.7889613271343</v>
      </c>
      <c r="J125" s="8">
        <f t="shared" si="7"/>
        <v>2027</v>
      </c>
      <c r="K125" s="405">
        <f t="shared" si="13"/>
        <v>46477</v>
      </c>
      <c r="L125" s="149">
        <f t="shared" si="27"/>
        <v>75</v>
      </c>
      <c r="M125" s="8"/>
      <c r="Y125" s="33"/>
      <c r="Z125" s="8"/>
      <c r="AA125" s="33"/>
      <c r="AB125" s="8"/>
      <c r="AC125" s="8"/>
      <c r="AD125" s="33"/>
      <c r="AE125" s="8"/>
      <c r="AF125" s="8"/>
      <c r="AG125" s="8"/>
      <c r="AH125" s="8"/>
      <c r="AI125" s="8"/>
      <c r="AJ125" s="8"/>
      <c r="AK125" s="8"/>
      <c r="AL125" s="8"/>
      <c r="AM125" s="8"/>
      <c r="AN125" s="8"/>
    </row>
    <row r="126" spans="1:40" ht="15.75">
      <c r="A126" s="143">
        <f>+'[1] FOEX px'!AJ74</f>
        <v>46568</v>
      </c>
      <c r="B126" s="191">
        <f t="shared" si="2"/>
        <v>46568</v>
      </c>
      <c r="C126" s="144">
        <f>+'[1] FOEX px'!AL74</f>
        <v>578.37538461538452</v>
      </c>
      <c r="D126" s="144">
        <f>+'[1] FOEX px'!AM74</f>
        <v>696.77381635672009</v>
      </c>
      <c r="E126" s="144">
        <f>+'[1] FOEX px'!AN74</f>
        <v>1110.1264701168091</v>
      </c>
      <c r="F126" s="144">
        <f>+'[1] FOEX px'!AO74</f>
        <v>1269.9154314439434</v>
      </c>
      <c r="G126" s="145">
        <f t="shared" si="14"/>
        <v>-531.75108550142454</v>
      </c>
      <c r="H126" s="145">
        <f t="shared" si="15"/>
        <v>118.39843174133557</v>
      </c>
      <c r="I126" s="146">
        <f t="shared" si="16"/>
        <v>159.7889613271343</v>
      </c>
      <c r="J126" s="8">
        <f t="shared" si="7"/>
        <v>2027</v>
      </c>
      <c r="K126" s="405">
        <f t="shared" si="13"/>
        <v>46568</v>
      </c>
      <c r="L126" s="149">
        <f t="shared" si="27"/>
        <v>75</v>
      </c>
      <c r="M126" s="8"/>
      <c r="N126" s="21"/>
      <c r="O126" s="15"/>
      <c r="R126" s="15"/>
      <c r="Y126" s="33"/>
      <c r="Z126" s="8"/>
      <c r="AA126" s="33"/>
      <c r="AB126" s="8"/>
      <c r="AC126" s="8"/>
      <c r="AD126" s="33"/>
      <c r="AE126" s="8"/>
      <c r="AF126" s="8"/>
      <c r="AG126" s="8"/>
      <c r="AH126" s="8"/>
      <c r="AI126" s="8"/>
      <c r="AJ126" s="8"/>
      <c r="AK126" s="8"/>
      <c r="AL126" s="8"/>
      <c r="AM126" s="8"/>
      <c r="AN126" s="8"/>
    </row>
    <row r="127" spans="1:40" ht="15.75">
      <c r="A127" s="143">
        <f>+'[1] FOEX px'!AJ75</f>
        <v>46660</v>
      </c>
      <c r="B127" s="191">
        <f t="shared" si="2"/>
        <v>46660</v>
      </c>
      <c r="C127" s="144">
        <f>+'[1] FOEX px'!AL75</f>
        <v>578.37538461538452</v>
      </c>
      <c r="D127" s="144">
        <f>+'[1] FOEX px'!AM75</f>
        <v>696.77381635672009</v>
      </c>
      <c r="E127" s="144">
        <f>+'[1] FOEX px'!AN75</f>
        <v>1110.1264701168091</v>
      </c>
      <c r="F127" s="144">
        <f>+'[1] FOEX px'!AO75</f>
        <v>1269.9154314439434</v>
      </c>
      <c r="G127" s="145">
        <f t="shared" si="14"/>
        <v>-531.75108550142454</v>
      </c>
      <c r="H127" s="145">
        <f t="shared" si="15"/>
        <v>118.39843174133557</v>
      </c>
      <c r="I127" s="146">
        <f t="shared" si="16"/>
        <v>159.7889613271343</v>
      </c>
      <c r="J127" s="8">
        <f t="shared" si="7"/>
        <v>2027</v>
      </c>
      <c r="K127" s="405">
        <f t="shared" si="13"/>
        <v>46660</v>
      </c>
      <c r="L127" s="149">
        <f t="shared" si="27"/>
        <v>75</v>
      </c>
      <c r="M127" s="8"/>
      <c r="N127" s="21"/>
      <c r="O127" s="15"/>
      <c r="R127" s="15"/>
      <c r="Y127" s="33"/>
      <c r="Z127" s="8"/>
      <c r="AA127" s="33"/>
      <c r="AB127" s="8"/>
      <c r="AC127" s="8"/>
      <c r="AD127" s="33"/>
      <c r="AE127" s="8"/>
      <c r="AF127" s="8"/>
      <c r="AG127" s="8"/>
      <c r="AH127" s="8"/>
      <c r="AI127" s="8"/>
      <c r="AJ127" s="8"/>
      <c r="AK127" s="8"/>
      <c r="AL127" s="8"/>
      <c r="AM127" s="8"/>
      <c r="AN127" s="8"/>
    </row>
    <row r="128" spans="1:40" ht="15.75">
      <c r="A128" s="143">
        <f>+'[1] FOEX px'!AJ76</f>
        <v>46752</v>
      </c>
      <c r="B128" s="191">
        <f t="shared" si="2"/>
        <v>46752</v>
      </c>
      <c r="C128" s="144">
        <f>+'[1] FOEX px'!AL76</f>
        <v>578.37538461538452</v>
      </c>
      <c r="D128" s="144">
        <f>+'[1] FOEX px'!AM76</f>
        <v>696.77381635672009</v>
      </c>
      <c r="E128" s="144">
        <f>+'[1] FOEX px'!AN76</f>
        <v>1110.1264701168091</v>
      </c>
      <c r="F128" s="144">
        <f>+'[1] FOEX px'!AO76</f>
        <v>1269.9154314439434</v>
      </c>
      <c r="G128" s="145">
        <f t="shared" si="14"/>
        <v>-531.75108550142454</v>
      </c>
      <c r="H128" s="145">
        <f t="shared" si="15"/>
        <v>118.39843174133557</v>
      </c>
      <c r="I128" s="146">
        <f t="shared" si="16"/>
        <v>159.7889613271343</v>
      </c>
      <c r="J128" s="8">
        <f t="shared" si="7"/>
        <v>2027</v>
      </c>
      <c r="K128" s="405">
        <f t="shared" si="13"/>
        <v>46752</v>
      </c>
      <c r="L128" s="149">
        <f t="shared" si="27"/>
        <v>75</v>
      </c>
      <c r="M128" s="8"/>
      <c r="N128" s="21"/>
      <c r="O128" s="15"/>
      <c r="R128" s="15"/>
      <c r="Y128" s="33"/>
      <c r="Z128" s="8"/>
      <c r="AA128" s="33"/>
      <c r="AB128" s="8"/>
      <c r="AC128" s="8"/>
      <c r="AD128" s="33"/>
      <c r="AE128" s="8"/>
      <c r="AF128" s="8"/>
      <c r="AG128" s="8"/>
      <c r="AH128" s="8"/>
      <c r="AI128" s="8"/>
      <c r="AJ128" s="8"/>
      <c r="AK128" s="8"/>
      <c r="AL128" s="8"/>
      <c r="AM128" s="8"/>
      <c r="AN128" s="8"/>
    </row>
    <row r="129" spans="1:40" ht="15.75">
      <c r="A129" s="33"/>
      <c r="B129" s="33"/>
      <c r="C129" s="23"/>
      <c r="D129" s="23"/>
      <c r="E129" s="23"/>
      <c r="F129" s="8"/>
      <c r="G129" s="33"/>
      <c r="H129" s="8"/>
      <c r="I129" s="8"/>
      <c r="J129" s="8"/>
      <c r="K129" s="8"/>
      <c r="L129" s="83"/>
      <c r="M129" s="8"/>
      <c r="N129" s="21"/>
      <c r="O129" s="15"/>
      <c r="P129" s="19"/>
      <c r="Q129" s="18"/>
      <c r="R129" s="15"/>
      <c r="S129" s="19"/>
      <c r="T129" s="19"/>
      <c r="U129" s="18"/>
      <c r="V129" s="18"/>
      <c r="W129" s="18"/>
      <c r="X129" s="18"/>
      <c r="Y129" s="33"/>
      <c r="Z129" s="8"/>
      <c r="AA129" s="33"/>
      <c r="AB129" s="8"/>
      <c r="AC129" s="8"/>
      <c r="AD129" s="33"/>
      <c r="AE129" s="8"/>
      <c r="AF129" s="8"/>
      <c r="AG129" s="8"/>
      <c r="AH129" s="8"/>
      <c r="AI129" s="8"/>
      <c r="AJ129" s="8"/>
      <c r="AK129" s="8"/>
      <c r="AL129" s="8"/>
      <c r="AM129" s="8"/>
      <c r="AN129" s="8"/>
    </row>
    <row r="130" spans="1:40" ht="15.75">
      <c r="A130" s="33"/>
      <c r="B130" s="33"/>
      <c r="C130" s="23"/>
      <c r="D130" s="23"/>
      <c r="E130" s="23"/>
      <c r="F130" s="8"/>
      <c r="G130" s="33"/>
      <c r="H130" s="8"/>
      <c r="I130" s="8"/>
      <c r="J130" s="8"/>
      <c r="K130" s="8"/>
      <c r="L130" s="83"/>
      <c r="M130" s="8"/>
      <c r="N130" s="21"/>
      <c r="O130" s="15"/>
      <c r="P130" s="19"/>
      <c r="Q130" s="18"/>
      <c r="R130" s="15"/>
      <c r="S130" s="19"/>
      <c r="T130" s="19"/>
      <c r="U130" s="18"/>
      <c r="V130" s="18"/>
      <c r="W130" s="18"/>
      <c r="X130" s="18"/>
      <c r="Y130" s="33"/>
      <c r="Z130" s="8"/>
      <c r="AA130" s="33"/>
      <c r="AB130" s="8"/>
      <c r="AC130" s="8"/>
      <c r="AD130" s="33"/>
      <c r="AE130" s="8"/>
      <c r="AF130" s="8"/>
      <c r="AG130" s="8"/>
      <c r="AH130" s="8"/>
      <c r="AI130" s="8"/>
      <c r="AJ130" s="8"/>
      <c r="AK130" s="8"/>
      <c r="AL130" s="8"/>
      <c r="AM130" s="8"/>
      <c r="AN130" s="8"/>
    </row>
    <row r="131" spans="1:40" ht="15.75">
      <c r="A131" s="33"/>
      <c r="B131" s="33"/>
      <c r="C131" s="23"/>
      <c r="D131" s="23"/>
      <c r="E131" s="23"/>
      <c r="F131" s="8"/>
      <c r="G131" s="33"/>
      <c r="H131" s="8"/>
      <c r="I131" s="8"/>
      <c r="J131" s="8"/>
      <c r="K131" s="8"/>
      <c r="L131" s="83"/>
      <c r="M131" s="8"/>
      <c r="N131" s="21"/>
      <c r="O131" s="15"/>
      <c r="P131" s="19"/>
      <c r="Q131" s="18"/>
      <c r="R131" s="15"/>
      <c r="S131" s="19"/>
      <c r="T131" s="19"/>
      <c r="U131" s="18"/>
      <c r="V131" s="18"/>
      <c r="W131" s="18"/>
      <c r="X131" s="18"/>
      <c r="Y131" s="33"/>
      <c r="Z131" s="8"/>
      <c r="AA131" s="33"/>
      <c r="AB131" s="8"/>
      <c r="AC131" s="8"/>
      <c r="AD131" s="33"/>
      <c r="AE131" s="8"/>
      <c r="AF131" s="8"/>
      <c r="AG131" s="8"/>
      <c r="AH131" s="8"/>
      <c r="AI131" s="8"/>
      <c r="AJ131" s="8"/>
      <c r="AK131" s="8"/>
      <c r="AL131" s="8"/>
      <c r="AM131" s="8"/>
      <c r="AN131" s="8"/>
    </row>
    <row r="132" spans="1:40" ht="15.75">
      <c r="A132" s="33"/>
      <c r="B132" s="33"/>
      <c r="C132" s="23"/>
      <c r="D132" s="23"/>
      <c r="E132" s="23"/>
      <c r="F132" s="8"/>
      <c r="G132" s="33"/>
      <c r="H132" s="8"/>
      <c r="I132" s="8"/>
      <c r="J132" s="8"/>
      <c r="K132" s="8"/>
      <c r="L132" s="83"/>
      <c r="M132" s="8"/>
      <c r="N132" s="21"/>
      <c r="O132" s="15"/>
      <c r="P132" s="19"/>
      <c r="Q132" s="18"/>
      <c r="R132" s="15"/>
      <c r="S132" s="19"/>
      <c r="T132" s="19"/>
      <c r="U132" s="18"/>
      <c r="V132" s="18"/>
      <c r="W132" s="18"/>
      <c r="X132" s="18"/>
      <c r="Y132" s="33"/>
      <c r="Z132" s="8"/>
      <c r="AA132" s="33"/>
      <c r="AB132" s="8"/>
      <c r="AC132" s="8"/>
      <c r="AD132" s="33"/>
      <c r="AE132" s="8"/>
      <c r="AF132" s="8"/>
      <c r="AG132" s="8"/>
      <c r="AH132" s="8"/>
      <c r="AI132" s="8"/>
      <c r="AJ132" s="8"/>
      <c r="AK132" s="8"/>
      <c r="AL132" s="8"/>
      <c r="AM132" s="8"/>
      <c r="AN132" s="8"/>
    </row>
    <row r="133" spans="1:40" ht="15.75">
      <c r="A133" s="33"/>
      <c r="B133" s="33"/>
      <c r="C133" s="23"/>
      <c r="D133" s="23"/>
      <c r="E133" s="23"/>
      <c r="F133" s="8"/>
      <c r="G133" s="33"/>
      <c r="H133" s="8"/>
      <c r="I133" s="8"/>
      <c r="J133" s="8"/>
      <c r="K133" s="8"/>
      <c r="L133" s="83"/>
      <c r="M133" s="8"/>
      <c r="N133" s="21"/>
      <c r="O133" s="15"/>
      <c r="P133" s="19"/>
      <c r="Q133" s="18"/>
      <c r="R133" s="15"/>
      <c r="S133" s="19"/>
      <c r="T133" s="19"/>
      <c r="U133" s="18"/>
      <c r="V133" s="18"/>
      <c r="W133" s="18"/>
      <c r="X133" s="18"/>
      <c r="Y133" s="33"/>
      <c r="Z133" s="8"/>
      <c r="AA133" s="33"/>
      <c r="AB133" s="8"/>
      <c r="AC133" s="8"/>
      <c r="AD133" s="33"/>
      <c r="AE133" s="8"/>
      <c r="AF133" s="8"/>
      <c r="AG133" s="8"/>
      <c r="AH133" s="8"/>
      <c r="AI133" s="8"/>
      <c r="AJ133" s="8"/>
      <c r="AK133" s="8"/>
      <c r="AL133" s="8"/>
      <c r="AM133" s="8"/>
      <c r="AN133" s="8"/>
    </row>
    <row r="134" spans="1:40" ht="15.75">
      <c r="A134" s="33"/>
      <c r="B134" s="33"/>
      <c r="C134" s="23"/>
      <c r="D134" s="23"/>
      <c r="E134" s="23"/>
      <c r="F134" s="8"/>
      <c r="G134" s="33"/>
      <c r="H134" s="8"/>
      <c r="I134" s="8"/>
      <c r="J134" s="8"/>
      <c r="K134" s="8"/>
      <c r="L134" s="83"/>
      <c r="M134" s="8"/>
      <c r="N134" s="21"/>
      <c r="O134" s="15"/>
      <c r="P134" s="19"/>
      <c r="Q134" s="18"/>
      <c r="R134" s="15"/>
      <c r="S134" s="19"/>
      <c r="T134" s="19"/>
      <c r="U134" s="18"/>
      <c r="V134" s="18"/>
      <c r="W134" s="18"/>
      <c r="X134" s="18"/>
      <c r="Y134" s="33"/>
      <c r="Z134" s="8"/>
      <c r="AA134" s="33"/>
      <c r="AB134" s="8"/>
      <c r="AC134" s="8"/>
      <c r="AD134" s="33"/>
      <c r="AE134" s="8"/>
      <c r="AF134" s="8"/>
      <c r="AG134" s="8"/>
      <c r="AH134" s="8"/>
      <c r="AI134" s="8"/>
      <c r="AJ134" s="8"/>
      <c r="AK134" s="8"/>
      <c r="AL134" s="8"/>
      <c r="AM134" s="8"/>
      <c r="AN134" s="8"/>
    </row>
    <row r="135" spans="1:40" ht="15.75">
      <c r="A135" s="33"/>
      <c r="B135" s="33"/>
      <c r="C135" s="23"/>
      <c r="D135" s="23"/>
      <c r="E135" s="23"/>
      <c r="F135" s="8"/>
      <c r="G135" s="33"/>
      <c r="H135" s="8"/>
      <c r="I135" s="8"/>
      <c r="J135" s="8"/>
      <c r="K135" s="8"/>
      <c r="L135" s="83"/>
      <c r="M135" s="8"/>
      <c r="N135" s="21"/>
      <c r="O135" s="15"/>
      <c r="P135" s="19"/>
      <c r="Q135" s="18"/>
      <c r="R135" s="15"/>
      <c r="S135" s="19"/>
      <c r="T135" s="19"/>
      <c r="U135" s="18"/>
      <c r="V135" s="18"/>
      <c r="W135" s="18"/>
      <c r="X135" s="18"/>
      <c r="Y135" s="33"/>
      <c r="Z135" s="8"/>
      <c r="AA135" s="33"/>
      <c r="AB135" s="8"/>
      <c r="AC135" s="8"/>
      <c r="AD135" s="33"/>
      <c r="AE135" s="8"/>
      <c r="AF135" s="8"/>
      <c r="AG135" s="8"/>
      <c r="AH135" s="8"/>
      <c r="AI135" s="8"/>
      <c r="AJ135" s="8"/>
      <c r="AK135" s="8"/>
      <c r="AL135" s="8"/>
      <c r="AM135" s="8"/>
      <c r="AN135" s="8"/>
    </row>
    <row r="136" spans="1:40" ht="15.75">
      <c r="A136" s="33"/>
      <c r="B136" s="33"/>
      <c r="C136" s="23"/>
      <c r="D136" s="23"/>
      <c r="E136" s="23"/>
      <c r="F136" s="8"/>
      <c r="G136" s="33"/>
      <c r="H136" s="8"/>
      <c r="I136" s="8"/>
      <c r="J136" s="8"/>
      <c r="K136" s="8"/>
      <c r="L136" s="83"/>
      <c r="M136" s="8"/>
      <c r="N136" s="21"/>
      <c r="O136" s="15"/>
      <c r="P136" s="19"/>
      <c r="Q136" s="18"/>
      <c r="R136" s="15"/>
      <c r="S136" s="19"/>
      <c r="T136" s="19"/>
      <c r="U136" s="18"/>
      <c r="V136" s="18"/>
      <c r="W136" s="18"/>
      <c r="X136" s="18"/>
      <c r="Y136" s="33"/>
      <c r="Z136" s="8"/>
      <c r="AA136" s="33"/>
      <c r="AB136" s="8"/>
      <c r="AC136" s="8"/>
      <c r="AD136" s="33"/>
      <c r="AE136" s="8"/>
      <c r="AF136" s="8"/>
      <c r="AG136" s="8"/>
      <c r="AH136" s="8"/>
      <c r="AI136" s="8"/>
      <c r="AJ136" s="8"/>
      <c r="AK136" s="8"/>
      <c r="AL136" s="8"/>
      <c r="AM136" s="8"/>
      <c r="AN136" s="8"/>
    </row>
    <row r="137" spans="1:40" ht="15.75">
      <c r="A137" s="33"/>
      <c r="B137" s="33"/>
      <c r="C137" s="23"/>
      <c r="D137" s="23"/>
      <c r="E137" s="23"/>
      <c r="F137" s="8"/>
      <c r="G137" s="33"/>
      <c r="H137" s="8"/>
      <c r="I137" s="8"/>
      <c r="J137" s="8"/>
      <c r="K137" s="8"/>
      <c r="L137" s="83"/>
      <c r="M137" s="8"/>
      <c r="N137" s="21"/>
      <c r="O137" s="15"/>
      <c r="P137" s="19"/>
      <c r="Q137" s="18"/>
      <c r="R137" s="15"/>
      <c r="S137" s="19"/>
      <c r="T137" s="19"/>
      <c r="U137" s="18"/>
      <c r="V137" s="18"/>
      <c r="W137" s="18"/>
      <c r="X137" s="18"/>
      <c r="Y137" s="33"/>
      <c r="Z137" s="8"/>
      <c r="AA137" s="33"/>
      <c r="AB137" s="8"/>
      <c r="AC137" s="8"/>
      <c r="AD137" s="33"/>
      <c r="AE137" s="8"/>
      <c r="AF137" s="8"/>
      <c r="AG137" s="8"/>
      <c r="AH137" s="8"/>
      <c r="AI137" s="8"/>
      <c r="AJ137" s="8"/>
      <c r="AK137" s="8"/>
      <c r="AL137" s="8"/>
      <c r="AM137" s="8"/>
      <c r="AN137" s="8"/>
    </row>
    <row r="138" spans="1:40" ht="15.75">
      <c r="A138" s="33"/>
      <c r="B138" s="33"/>
      <c r="C138" s="23"/>
      <c r="D138" s="23"/>
      <c r="E138" s="23"/>
      <c r="F138" s="8"/>
      <c r="G138" s="33"/>
      <c r="H138" s="8"/>
      <c r="I138" s="8"/>
      <c r="J138" s="8"/>
      <c r="K138" s="8"/>
      <c r="L138" s="83"/>
      <c r="M138" s="8"/>
      <c r="N138" s="21"/>
      <c r="O138" s="15"/>
      <c r="P138" s="19"/>
      <c r="Q138" s="18"/>
      <c r="R138" s="15"/>
      <c r="S138" s="19"/>
      <c r="T138" s="19"/>
      <c r="U138" s="18"/>
      <c r="V138" s="18"/>
      <c r="W138" s="18"/>
      <c r="X138" s="18"/>
      <c r="Y138" s="33"/>
      <c r="Z138" s="8"/>
      <c r="AA138" s="33"/>
      <c r="AB138" s="8"/>
      <c r="AC138" s="8"/>
      <c r="AD138" s="33"/>
      <c r="AE138" s="8"/>
      <c r="AF138" s="8"/>
      <c r="AG138" s="8"/>
      <c r="AH138" s="8"/>
      <c r="AI138" s="8"/>
      <c r="AJ138" s="8"/>
      <c r="AK138" s="8"/>
      <c r="AL138" s="8"/>
      <c r="AM138" s="8"/>
      <c r="AN138" s="8"/>
    </row>
    <row r="139" spans="1:40" ht="15.75">
      <c r="A139" s="33"/>
      <c r="B139" s="33"/>
      <c r="C139" s="23"/>
      <c r="D139" s="23"/>
      <c r="E139" s="23"/>
      <c r="F139" s="8"/>
      <c r="G139" s="33"/>
      <c r="H139" s="8"/>
      <c r="I139" s="8"/>
      <c r="J139" s="8"/>
      <c r="K139" s="8"/>
      <c r="L139" s="83"/>
      <c r="M139" s="8"/>
      <c r="N139" s="21"/>
      <c r="O139" s="15"/>
      <c r="P139" s="19"/>
      <c r="Q139" s="18"/>
      <c r="R139" s="15"/>
      <c r="S139" s="19"/>
      <c r="T139" s="19"/>
      <c r="U139" s="18"/>
      <c r="V139" s="18"/>
      <c r="W139" s="18"/>
      <c r="X139" s="18"/>
      <c r="Y139" s="33"/>
      <c r="Z139" s="8"/>
      <c r="AA139" s="33"/>
      <c r="AB139" s="8"/>
      <c r="AC139" s="8"/>
      <c r="AD139" s="33"/>
      <c r="AE139" s="8"/>
      <c r="AF139" s="8"/>
      <c r="AG139" s="8"/>
      <c r="AH139" s="8"/>
      <c r="AI139" s="8"/>
      <c r="AJ139" s="8"/>
      <c r="AK139" s="8"/>
      <c r="AL139" s="8"/>
      <c r="AM139" s="8"/>
      <c r="AN139" s="8"/>
    </row>
    <row r="140" spans="1:40" ht="15.75">
      <c r="A140" s="33"/>
      <c r="B140" s="33"/>
      <c r="C140" s="23"/>
      <c r="D140" s="23"/>
      <c r="E140" s="23"/>
      <c r="F140" s="8"/>
      <c r="G140" s="33"/>
      <c r="H140" s="8"/>
      <c r="I140" s="8"/>
      <c r="J140" s="8"/>
      <c r="K140" s="8"/>
      <c r="L140" s="83"/>
      <c r="M140" s="8"/>
      <c r="N140" s="21"/>
      <c r="O140" s="15"/>
      <c r="P140" s="19"/>
      <c r="Q140" s="18"/>
      <c r="R140" s="15"/>
      <c r="S140" s="19"/>
      <c r="T140" s="19"/>
      <c r="U140" s="18"/>
      <c r="V140" s="18"/>
      <c r="W140" s="18"/>
      <c r="X140" s="18"/>
      <c r="Y140" s="33"/>
      <c r="Z140" s="8"/>
      <c r="AA140" s="33"/>
      <c r="AB140" s="8"/>
      <c r="AC140" s="8"/>
      <c r="AD140" s="33"/>
      <c r="AE140" s="8"/>
      <c r="AF140" s="8"/>
      <c r="AG140" s="8"/>
      <c r="AH140" s="8"/>
      <c r="AI140" s="8"/>
      <c r="AJ140" s="8"/>
      <c r="AK140" s="8"/>
      <c r="AL140" s="8"/>
      <c r="AM140" s="8"/>
      <c r="AN140" s="8"/>
    </row>
    <row r="141" spans="1:40" ht="15.75">
      <c r="A141" s="33"/>
      <c r="B141" s="33"/>
      <c r="C141" s="23"/>
      <c r="D141" s="23"/>
      <c r="E141" s="23"/>
      <c r="F141" s="8"/>
      <c r="G141" s="33"/>
      <c r="H141" s="8"/>
      <c r="I141" s="8"/>
      <c r="J141" s="8"/>
      <c r="K141" s="8"/>
      <c r="L141" s="83"/>
      <c r="M141" s="8"/>
      <c r="N141" s="21"/>
      <c r="O141" s="15"/>
      <c r="P141" s="19"/>
      <c r="Q141" s="18"/>
      <c r="R141" s="15"/>
      <c r="S141" s="19"/>
      <c r="T141" s="19"/>
      <c r="U141" s="18"/>
      <c r="V141" s="18"/>
      <c r="W141" s="18"/>
      <c r="X141" s="18"/>
      <c r="Y141" s="33"/>
      <c r="Z141" s="8"/>
      <c r="AA141" s="33"/>
      <c r="AB141" s="8"/>
      <c r="AC141" s="8"/>
      <c r="AD141" s="33"/>
      <c r="AE141" s="8"/>
      <c r="AF141" s="8"/>
      <c r="AG141" s="8"/>
      <c r="AH141" s="8"/>
      <c r="AI141" s="8"/>
      <c r="AJ141" s="8"/>
      <c r="AK141" s="8"/>
      <c r="AL141" s="8"/>
      <c r="AM141" s="8"/>
      <c r="AN141" s="8"/>
    </row>
    <row r="142" spans="1:40" ht="15.75">
      <c r="A142" s="33"/>
      <c r="B142" s="33"/>
      <c r="C142" s="23"/>
      <c r="D142" s="23"/>
      <c r="E142" s="23"/>
      <c r="F142" s="8"/>
      <c r="G142" s="33"/>
      <c r="H142" s="8"/>
      <c r="I142" s="8"/>
      <c r="J142" s="8"/>
      <c r="K142" s="8"/>
      <c r="L142" s="83"/>
      <c r="M142" s="8"/>
      <c r="N142" s="21"/>
      <c r="O142" s="15"/>
      <c r="P142" s="19"/>
      <c r="Q142" s="18"/>
      <c r="R142" s="15"/>
      <c r="S142" s="19"/>
      <c r="T142" s="19"/>
      <c r="U142" s="18"/>
      <c r="V142" s="18"/>
      <c r="W142" s="18"/>
      <c r="X142" s="18"/>
      <c r="Y142" s="33"/>
      <c r="Z142" s="8"/>
      <c r="AA142" s="33"/>
      <c r="AB142" s="8"/>
      <c r="AC142" s="8"/>
      <c r="AD142" s="33"/>
      <c r="AE142" s="8"/>
      <c r="AF142" s="8"/>
      <c r="AG142" s="8"/>
      <c r="AH142" s="8"/>
      <c r="AI142" s="8"/>
      <c r="AJ142" s="8"/>
      <c r="AK142" s="8"/>
      <c r="AL142" s="8"/>
      <c r="AM142" s="8"/>
      <c r="AN142" s="8"/>
    </row>
    <row r="143" spans="1:40" ht="15.75">
      <c r="A143" s="33"/>
      <c r="B143" s="33"/>
      <c r="C143" s="23"/>
      <c r="D143" s="23"/>
      <c r="E143" s="23"/>
      <c r="F143" s="8"/>
      <c r="G143" s="33"/>
      <c r="H143" s="8"/>
      <c r="I143" s="8"/>
      <c r="J143" s="8"/>
      <c r="K143" s="8"/>
      <c r="L143" s="83"/>
      <c r="M143" s="8"/>
      <c r="N143" s="21"/>
      <c r="O143" s="15"/>
      <c r="P143" s="19"/>
      <c r="Q143" s="18"/>
      <c r="R143" s="15"/>
      <c r="S143" s="19"/>
      <c r="T143" s="19"/>
      <c r="U143" s="18"/>
      <c r="V143" s="18"/>
      <c r="W143" s="18"/>
      <c r="X143" s="18"/>
      <c r="Y143" s="33"/>
      <c r="Z143" s="8"/>
      <c r="AA143" s="33"/>
      <c r="AB143" s="8"/>
      <c r="AC143" s="8"/>
      <c r="AD143" s="33"/>
      <c r="AE143" s="8"/>
      <c r="AF143" s="8"/>
      <c r="AG143" s="8"/>
      <c r="AH143" s="8"/>
      <c r="AI143" s="8"/>
      <c r="AJ143" s="8"/>
      <c r="AK143" s="8"/>
      <c r="AL143" s="8"/>
      <c r="AM143" s="8"/>
      <c r="AN143" s="8"/>
    </row>
    <row r="144" spans="1:40" ht="15.75">
      <c r="A144" s="33"/>
      <c r="B144" s="33"/>
      <c r="C144" s="23"/>
      <c r="D144" s="23"/>
      <c r="E144" s="23"/>
      <c r="F144" s="8"/>
      <c r="G144" s="33"/>
      <c r="H144" s="8"/>
      <c r="I144" s="8"/>
      <c r="J144" s="8"/>
      <c r="K144" s="8"/>
      <c r="L144" s="83"/>
      <c r="M144" s="8"/>
      <c r="N144" s="21"/>
      <c r="O144" s="15"/>
      <c r="P144" s="19"/>
      <c r="Q144" s="18"/>
      <c r="R144" s="15"/>
      <c r="S144" s="19"/>
      <c r="T144" s="19"/>
      <c r="U144" s="18"/>
      <c r="V144" s="18"/>
      <c r="W144" s="18"/>
      <c r="X144" s="18"/>
      <c r="Y144" s="33"/>
      <c r="Z144" s="8"/>
      <c r="AA144" s="33"/>
      <c r="AB144" s="8"/>
      <c r="AC144" s="8"/>
      <c r="AD144" s="33"/>
      <c r="AE144" s="8"/>
      <c r="AF144" s="8"/>
      <c r="AG144" s="8"/>
      <c r="AH144" s="8"/>
      <c r="AI144" s="8"/>
      <c r="AJ144" s="8"/>
      <c r="AK144" s="8"/>
      <c r="AL144" s="8"/>
      <c r="AM144" s="8"/>
      <c r="AN144" s="8"/>
    </row>
    <row r="145" spans="1:40" ht="15.75">
      <c r="A145" s="33"/>
      <c r="B145" s="33"/>
      <c r="C145" s="23"/>
      <c r="D145" s="23"/>
      <c r="E145" s="23"/>
      <c r="F145" s="8"/>
      <c r="G145" s="33"/>
      <c r="H145" s="8"/>
      <c r="I145" s="8"/>
      <c r="J145" s="8"/>
      <c r="K145" s="8"/>
      <c r="L145" s="83"/>
      <c r="M145" s="8"/>
      <c r="N145" s="21"/>
      <c r="O145" s="15"/>
      <c r="P145" s="19"/>
      <c r="Q145" s="18"/>
      <c r="R145" s="15"/>
      <c r="S145" s="19"/>
      <c r="T145" s="19"/>
      <c r="U145" s="18"/>
      <c r="V145" s="18"/>
      <c r="W145" s="18"/>
      <c r="X145" s="18"/>
      <c r="Y145" s="33"/>
      <c r="Z145" s="8"/>
      <c r="AA145" s="33"/>
      <c r="AB145" s="8"/>
      <c r="AC145" s="8"/>
      <c r="AD145" s="33"/>
      <c r="AE145" s="8"/>
      <c r="AF145" s="8"/>
      <c r="AG145" s="8"/>
      <c r="AH145" s="8"/>
      <c r="AI145" s="8"/>
      <c r="AJ145" s="8"/>
      <c r="AK145" s="8"/>
      <c r="AL145" s="8"/>
      <c r="AM145" s="8"/>
      <c r="AN145" s="8"/>
    </row>
    <row r="146" spans="1:40" ht="15.75">
      <c r="A146" s="33"/>
      <c r="B146" s="33"/>
      <c r="C146" s="23"/>
      <c r="D146" s="23"/>
      <c r="E146" s="23"/>
      <c r="F146" s="8"/>
      <c r="G146" s="33"/>
      <c r="H146" s="8"/>
      <c r="I146" s="8"/>
      <c r="J146" s="8"/>
      <c r="K146" s="8"/>
      <c r="L146" s="83"/>
      <c r="M146" s="8"/>
      <c r="N146" s="21"/>
      <c r="O146" s="15"/>
      <c r="P146" s="19"/>
      <c r="Q146" s="18"/>
      <c r="R146" s="15"/>
      <c r="S146" s="19"/>
      <c r="T146" s="19"/>
      <c r="U146" s="18"/>
      <c r="V146" s="18"/>
      <c r="W146" s="18"/>
      <c r="X146" s="18"/>
      <c r="Y146" s="33"/>
      <c r="Z146" s="8"/>
      <c r="AA146" s="33"/>
      <c r="AB146" s="8"/>
      <c r="AC146" s="8"/>
      <c r="AD146" s="33"/>
      <c r="AE146" s="8"/>
      <c r="AF146" s="8"/>
      <c r="AG146" s="8"/>
      <c r="AH146" s="8"/>
      <c r="AI146" s="8"/>
      <c r="AJ146" s="8"/>
      <c r="AK146" s="8"/>
      <c r="AL146" s="8"/>
      <c r="AM146" s="8"/>
      <c r="AN146" s="8"/>
    </row>
    <row r="147" spans="1:40" ht="15.75">
      <c r="A147" s="33"/>
      <c r="B147" s="33"/>
      <c r="C147" s="23"/>
      <c r="D147" s="23"/>
      <c r="E147" s="23"/>
      <c r="F147" s="8"/>
      <c r="G147" s="33"/>
      <c r="H147" s="8"/>
      <c r="I147" s="8"/>
      <c r="J147" s="8"/>
      <c r="K147" s="8"/>
      <c r="L147" s="83"/>
      <c r="M147" s="8"/>
      <c r="N147" s="21"/>
      <c r="O147" s="15"/>
      <c r="P147" s="19"/>
      <c r="Q147" s="18"/>
      <c r="R147" s="15"/>
      <c r="S147" s="19"/>
      <c r="T147" s="19"/>
      <c r="U147" s="18"/>
      <c r="V147" s="18"/>
      <c r="W147" s="18"/>
      <c r="X147" s="18"/>
      <c r="Y147" s="33"/>
      <c r="Z147" s="8"/>
      <c r="AA147" s="33"/>
      <c r="AB147" s="8"/>
      <c r="AC147" s="8"/>
      <c r="AD147" s="33"/>
      <c r="AE147" s="8"/>
      <c r="AF147" s="8"/>
      <c r="AG147" s="8"/>
      <c r="AH147" s="8"/>
      <c r="AI147" s="8"/>
      <c r="AJ147" s="8"/>
      <c r="AK147" s="8"/>
      <c r="AL147" s="8"/>
      <c r="AM147" s="8"/>
      <c r="AN147" s="8"/>
    </row>
    <row r="148" spans="1:40" ht="15.75">
      <c r="A148" s="33"/>
      <c r="B148" s="33"/>
      <c r="C148" s="23"/>
      <c r="D148" s="23"/>
      <c r="E148" s="23"/>
      <c r="F148" s="8"/>
      <c r="G148" s="33"/>
      <c r="H148" s="8"/>
      <c r="I148" s="8"/>
      <c r="J148" s="8"/>
      <c r="K148" s="8"/>
      <c r="L148" s="83"/>
      <c r="M148" s="8"/>
      <c r="N148" s="21"/>
      <c r="O148" s="15"/>
      <c r="P148" s="19"/>
      <c r="Q148" s="18"/>
      <c r="R148" s="15"/>
      <c r="S148" s="19"/>
      <c r="T148" s="19"/>
      <c r="U148" s="18"/>
      <c r="V148" s="18"/>
      <c r="W148" s="18"/>
      <c r="X148" s="18"/>
      <c r="Y148" s="33"/>
      <c r="Z148" s="8"/>
      <c r="AA148" s="33"/>
      <c r="AB148" s="8"/>
      <c r="AC148" s="8"/>
      <c r="AD148" s="33"/>
      <c r="AE148" s="8"/>
      <c r="AF148" s="8"/>
      <c r="AG148" s="8"/>
      <c r="AH148" s="8"/>
      <c r="AI148" s="8"/>
      <c r="AJ148" s="8"/>
      <c r="AK148" s="8"/>
      <c r="AL148" s="8"/>
      <c r="AM148" s="8"/>
      <c r="AN148" s="8"/>
    </row>
    <row r="149" spans="1:40" ht="15.75">
      <c r="A149" s="33"/>
      <c r="B149" s="33"/>
      <c r="C149" s="23"/>
      <c r="D149" s="23"/>
      <c r="E149" s="23"/>
      <c r="F149" s="8"/>
      <c r="G149" s="33"/>
      <c r="H149" s="8"/>
      <c r="I149" s="8"/>
      <c r="J149" s="8"/>
      <c r="K149" s="8"/>
      <c r="L149" s="83"/>
      <c r="M149" s="8"/>
      <c r="N149" s="21"/>
      <c r="O149" s="15"/>
      <c r="P149" s="19"/>
      <c r="Q149" s="18"/>
      <c r="R149" s="15"/>
      <c r="S149" s="19"/>
      <c r="T149" s="19"/>
      <c r="U149" s="18"/>
      <c r="V149" s="18"/>
      <c r="W149" s="18"/>
      <c r="X149" s="18"/>
      <c r="Y149" s="33"/>
      <c r="Z149" s="8"/>
      <c r="AA149" s="33"/>
      <c r="AB149" s="8"/>
      <c r="AC149" s="8"/>
      <c r="AD149" s="33"/>
      <c r="AE149" s="8"/>
      <c r="AF149" s="8"/>
      <c r="AG149" s="8"/>
      <c r="AH149" s="8"/>
      <c r="AI149" s="8"/>
      <c r="AJ149" s="8"/>
      <c r="AK149" s="8"/>
      <c r="AL149" s="8"/>
      <c r="AM149" s="8"/>
      <c r="AN149" s="8"/>
    </row>
    <row r="150" spans="1:40" ht="15.75">
      <c r="A150" s="33"/>
      <c r="B150" s="33"/>
      <c r="C150" s="23"/>
      <c r="D150" s="23"/>
      <c r="E150" s="23"/>
      <c r="F150" s="8"/>
      <c r="G150" s="33"/>
      <c r="H150" s="8"/>
      <c r="I150" s="8"/>
      <c r="J150" s="8"/>
      <c r="K150" s="8"/>
      <c r="L150" s="83"/>
      <c r="M150" s="8"/>
      <c r="N150" s="21"/>
      <c r="O150" s="15"/>
      <c r="P150" s="19"/>
      <c r="Q150" s="18"/>
      <c r="R150" s="15"/>
      <c r="S150" s="19"/>
      <c r="T150" s="19"/>
      <c r="U150" s="18"/>
      <c r="V150" s="18"/>
      <c r="W150" s="18"/>
      <c r="X150" s="18"/>
      <c r="Y150" s="33"/>
      <c r="Z150" s="8"/>
      <c r="AA150" s="33"/>
      <c r="AB150" s="8"/>
      <c r="AC150" s="8"/>
      <c r="AD150" s="33"/>
      <c r="AE150" s="8"/>
      <c r="AF150" s="8"/>
      <c r="AG150" s="8"/>
      <c r="AH150" s="8"/>
      <c r="AI150" s="8"/>
      <c r="AJ150" s="8"/>
      <c r="AK150" s="8"/>
      <c r="AL150" s="8"/>
      <c r="AM150" s="8"/>
      <c r="AN150" s="8"/>
    </row>
    <row r="151" spans="1:40" ht="15.75">
      <c r="A151" s="33"/>
      <c r="B151" s="33"/>
      <c r="C151" s="23"/>
      <c r="D151" s="23"/>
      <c r="E151" s="23"/>
      <c r="F151" s="8"/>
      <c r="G151" s="33"/>
      <c r="H151" s="8"/>
      <c r="I151" s="8"/>
      <c r="J151" s="8"/>
      <c r="K151" s="8"/>
      <c r="L151" s="83"/>
      <c r="M151" s="8"/>
      <c r="N151" s="21"/>
      <c r="O151" s="15"/>
      <c r="P151" s="19"/>
      <c r="Q151" s="18"/>
      <c r="R151" s="15"/>
      <c r="S151" s="19"/>
      <c r="T151" s="19"/>
      <c r="U151" s="18"/>
      <c r="V151" s="18"/>
      <c r="W151" s="18"/>
      <c r="X151" s="18"/>
      <c r="Y151" s="33"/>
      <c r="Z151" s="8"/>
      <c r="AA151" s="33"/>
      <c r="AB151" s="8"/>
      <c r="AC151" s="8"/>
      <c r="AD151" s="33"/>
      <c r="AE151" s="8"/>
      <c r="AF151" s="8"/>
      <c r="AG151" s="8"/>
      <c r="AH151" s="8"/>
      <c r="AI151" s="8"/>
      <c r="AJ151" s="8"/>
      <c r="AK151" s="8"/>
      <c r="AL151" s="8"/>
      <c r="AM151" s="8"/>
      <c r="AN151" s="8"/>
    </row>
    <row r="152" spans="1:40" ht="15.75">
      <c r="A152" s="33"/>
      <c r="B152" s="33"/>
      <c r="C152" s="23"/>
      <c r="D152" s="23"/>
      <c r="E152" s="23"/>
      <c r="F152" s="8"/>
      <c r="G152" s="33"/>
      <c r="H152" s="8"/>
      <c r="I152" s="8"/>
      <c r="J152" s="8"/>
      <c r="K152" s="8"/>
      <c r="L152" s="83"/>
      <c r="M152" s="8"/>
      <c r="N152" s="21"/>
      <c r="O152" s="15"/>
      <c r="P152" s="19"/>
      <c r="Q152" s="18"/>
      <c r="R152" s="15"/>
      <c r="S152" s="19"/>
      <c r="T152" s="19"/>
      <c r="U152" s="18"/>
      <c r="V152" s="18"/>
      <c r="W152" s="18"/>
      <c r="X152" s="18"/>
      <c r="Y152" s="33"/>
      <c r="Z152" s="8"/>
      <c r="AA152" s="33"/>
      <c r="AB152" s="8"/>
      <c r="AC152" s="8"/>
      <c r="AD152" s="33"/>
      <c r="AE152" s="8"/>
      <c r="AF152" s="8"/>
      <c r="AG152" s="8"/>
      <c r="AH152" s="8"/>
      <c r="AI152" s="8"/>
      <c r="AJ152" s="8"/>
      <c r="AK152" s="8"/>
      <c r="AL152" s="8"/>
      <c r="AM152" s="8"/>
      <c r="AN152" s="8"/>
    </row>
    <row r="153" spans="1:40" ht="15.75">
      <c r="A153" s="33"/>
      <c r="B153" s="33"/>
      <c r="C153" s="23"/>
      <c r="D153" s="23"/>
      <c r="E153" s="23"/>
      <c r="F153" s="8"/>
      <c r="G153" s="33"/>
      <c r="H153" s="8"/>
      <c r="I153" s="8"/>
      <c r="J153" s="8"/>
      <c r="K153" s="8"/>
      <c r="L153" s="83"/>
      <c r="M153" s="8"/>
      <c r="N153" s="21"/>
      <c r="O153" s="15"/>
      <c r="P153" s="19"/>
      <c r="Q153" s="18"/>
      <c r="R153" s="15"/>
      <c r="S153" s="19"/>
      <c r="T153" s="19"/>
      <c r="U153" s="18"/>
      <c r="V153" s="18"/>
      <c r="W153" s="18"/>
      <c r="X153" s="18"/>
      <c r="Y153" s="33"/>
      <c r="Z153" s="8"/>
      <c r="AA153" s="33"/>
      <c r="AB153" s="8"/>
      <c r="AC153" s="8"/>
      <c r="AD153" s="33"/>
      <c r="AE153" s="8"/>
      <c r="AF153" s="8"/>
      <c r="AG153" s="8"/>
      <c r="AH153" s="8"/>
      <c r="AI153" s="8"/>
      <c r="AJ153" s="8"/>
      <c r="AK153" s="8"/>
      <c r="AL153" s="8"/>
      <c r="AM153" s="8"/>
      <c r="AN153" s="8"/>
    </row>
    <row r="154" spans="1:40" ht="15.75">
      <c r="A154" s="33"/>
      <c r="B154" s="33"/>
      <c r="C154" s="23"/>
      <c r="D154" s="23"/>
      <c r="E154" s="23"/>
      <c r="F154" s="8"/>
      <c r="G154" s="33"/>
      <c r="H154" s="8"/>
      <c r="I154" s="8"/>
      <c r="J154" s="8"/>
      <c r="K154" s="8"/>
      <c r="L154" s="83"/>
      <c r="M154" s="8"/>
      <c r="N154" s="21"/>
      <c r="O154" s="15"/>
      <c r="P154" s="19"/>
      <c r="Q154" s="18"/>
      <c r="R154" s="15"/>
      <c r="S154" s="19"/>
      <c r="T154" s="19"/>
      <c r="U154" s="18"/>
      <c r="V154" s="18"/>
      <c r="W154" s="18"/>
      <c r="X154" s="18"/>
      <c r="Y154" s="33"/>
      <c r="Z154" s="8"/>
      <c r="AA154" s="33"/>
      <c r="AB154" s="8"/>
      <c r="AC154" s="8"/>
      <c r="AD154" s="33"/>
      <c r="AE154" s="8"/>
      <c r="AF154" s="8"/>
      <c r="AG154" s="8"/>
      <c r="AH154" s="8"/>
      <c r="AI154" s="8"/>
      <c r="AJ154" s="8"/>
      <c r="AK154" s="8"/>
      <c r="AL154" s="8"/>
      <c r="AM154" s="8"/>
      <c r="AN154" s="8"/>
    </row>
    <row r="155" spans="1:40" ht="15.75">
      <c r="A155" s="33"/>
      <c r="B155" s="33"/>
      <c r="C155" s="8"/>
      <c r="D155" s="8"/>
      <c r="E155" s="8"/>
      <c r="F155" s="8"/>
      <c r="G155" s="33"/>
      <c r="H155" s="8"/>
      <c r="I155" s="8"/>
      <c r="J155" s="8"/>
      <c r="K155" s="8"/>
      <c r="L155" s="83"/>
      <c r="M155" s="8"/>
      <c r="N155" s="21"/>
      <c r="O155" s="15"/>
      <c r="P155" s="19"/>
      <c r="Q155" s="18"/>
      <c r="R155" s="15"/>
      <c r="S155" s="19"/>
      <c r="T155" s="19"/>
      <c r="U155" s="18"/>
      <c r="V155" s="18"/>
      <c r="W155" s="18"/>
      <c r="X155" s="18"/>
      <c r="Y155" s="33"/>
      <c r="Z155" s="8"/>
      <c r="AA155" s="33"/>
      <c r="AB155" s="8"/>
      <c r="AC155" s="8"/>
      <c r="AD155" s="33"/>
      <c r="AE155" s="8"/>
      <c r="AF155" s="8"/>
      <c r="AG155" s="8"/>
      <c r="AH155" s="8"/>
      <c r="AI155" s="8"/>
      <c r="AJ155" s="8"/>
      <c r="AK155" s="8"/>
      <c r="AL155" s="8"/>
      <c r="AM155" s="8"/>
      <c r="AN155" s="8"/>
    </row>
    <row r="156" spans="1:40" ht="15.75">
      <c r="A156" s="33"/>
      <c r="B156" s="33"/>
      <c r="C156" s="8"/>
      <c r="D156" s="8"/>
      <c r="E156" s="8"/>
      <c r="F156" s="8"/>
      <c r="G156" s="33"/>
      <c r="H156" s="8"/>
      <c r="I156" s="8"/>
      <c r="J156" s="8"/>
      <c r="K156" s="8"/>
      <c r="L156" s="83"/>
      <c r="M156" s="8"/>
      <c r="N156" s="21"/>
      <c r="O156" s="15"/>
      <c r="P156" s="19"/>
      <c r="Q156" s="18"/>
      <c r="R156" s="15"/>
      <c r="S156" s="19"/>
      <c r="T156" s="19"/>
      <c r="U156" s="18"/>
      <c r="V156" s="18"/>
      <c r="W156" s="18"/>
      <c r="X156" s="18"/>
      <c r="Y156" s="33"/>
      <c r="Z156" s="8"/>
      <c r="AA156" s="33"/>
      <c r="AB156" s="8"/>
      <c r="AC156" s="8"/>
      <c r="AD156" s="33"/>
      <c r="AE156" s="8"/>
      <c r="AF156" s="8"/>
      <c r="AG156" s="8"/>
      <c r="AH156" s="8"/>
      <c r="AI156" s="8"/>
      <c r="AJ156" s="8"/>
      <c r="AK156" s="8"/>
      <c r="AL156" s="8"/>
      <c r="AM156" s="8"/>
      <c r="AN156" s="8"/>
    </row>
    <row r="157" spans="1:40" ht="15.75">
      <c r="A157" s="33"/>
      <c r="B157" s="33"/>
      <c r="C157" s="8"/>
      <c r="D157" s="8"/>
      <c r="E157" s="8"/>
      <c r="F157" s="8"/>
      <c r="G157" s="33"/>
      <c r="H157" s="8"/>
      <c r="I157" s="8"/>
      <c r="J157" s="8"/>
      <c r="K157" s="8"/>
      <c r="L157" s="83"/>
      <c r="M157" s="8"/>
      <c r="N157" s="21"/>
      <c r="O157" s="15"/>
      <c r="P157" s="19"/>
      <c r="Q157" s="18"/>
      <c r="R157" s="15"/>
      <c r="S157" s="19"/>
      <c r="T157" s="19"/>
      <c r="U157" s="18"/>
      <c r="V157" s="18"/>
      <c r="W157" s="18"/>
      <c r="X157" s="18"/>
      <c r="Y157" s="33"/>
      <c r="Z157" s="8"/>
      <c r="AA157" s="33"/>
      <c r="AB157" s="8"/>
      <c r="AC157" s="8"/>
      <c r="AD157" s="33"/>
      <c r="AE157" s="8"/>
      <c r="AF157" s="8"/>
      <c r="AG157" s="8"/>
      <c r="AH157" s="8"/>
      <c r="AI157" s="8"/>
      <c r="AJ157" s="8"/>
      <c r="AK157" s="8"/>
      <c r="AL157" s="8"/>
      <c r="AM157" s="8"/>
      <c r="AN157" s="8"/>
    </row>
    <row r="158" spans="1:40" ht="15.75">
      <c r="A158" s="33"/>
      <c r="B158" s="33"/>
      <c r="C158" s="8"/>
      <c r="D158" s="8"/>
      <c r="E158" s="8"/>
      <c r="F158" s="8"/>
      <c r="G158" s="33"/>
      <c r="H158" s="8"/>
      <c r="I158" s="8"/>
      <c r="J158" s="8"/>
      <c r="K158" s="8"/>
      <c r="L158" s="83"/>
      <c r="M158" s="8"/>
      <c r="N158" s="21"/>
      <c r="O158" s="15"/>
      <c r="P158" s="19"/>
      <c r="Q158" s="18"/>
      <c r="R158" s="15"/>
      <c r="S158" s="19"/>
      <c r="T158" s="19"/>
      <c r="U158" s="18"/>
      <c r="V158" s="18"/>
      <c r="W158" s="18"/>
      <c r="X158" s="18"/>
      <c r="Y158" s="33"/>
      <c r="Z158" s="8"/>
      <c r="AA158" s="33"/>
      <c r="AB158" s="8"/>
      <c r="AC158" s="8"/>
      <c r="AD158" s="33"/>
      <c r="AE158" s="8"/>
      <c r="AF158" s="8"/>
      <c r="AG158" s="8"/>
      <c r="AH158" s="8"/>
      <c r="AI158" s="8"/>
      <c r="AJ158" s="8"/>
      <c r="AK158" s="8"/>
      <c r="AL158" s="8"/>
      <c r="AM158" s="8"/>
      <c r="AN158" s="8"/>
    </row>
    <row r="159" spans="1:40" ht="15.75">
      <c r="A159" s="33"/>
      <c r="B159" s="33"/>
      <c r="C159" s="8"/>
      <c r="D159" s="8"/>
      <c r="E159" s="8"/>
      <c r="F159" s="8"/>
      <c r="G159" s="33"/>
      <c r="H159" s="8"/>
      <c r="I159" s="8"/>
      <c r="J159" s="8"/>
      <c r="K159" s="8"/>
      <c r="L159" s="83"/>
      <c r="M159" s="8"/>
      <c r="N159" s="21"/>
      <c r="O159" s="15"/>
      <c r="P159" s="19"/>
      <c r="Q159" s="18"/>
      <c r="R159" s="15"/>
      <c r="S159" s="19"/>
      <c r="T159" s="19"/>
      <c r="U159" s="18"/>
      <c r="V159" s="18"/>
      <c r="W159" s="18"/>
      <c r="X159" s="18"/>
      <c r="Y159" s="33"/>
      <c r="Z159" s="8"/>
      <c r="AA159" s="33"/>
      <c r="AB159" s="8"/>
      <c r="AC159" s="8"/>
      <c r="AD159" s="33"/>
      <c r="AE159" s="8"/>
      <c r="AF159" s="8"/>
      <c r="AG159" s="8"/>
      <c r="AH159" s="8"/>
      <c r="AI159" s="8"/>
      <c r="AJ159" s="8"/>
      <c r="AK159" s="8"/>
      <c r="AL159" s="8"/>
      <c r="AM159" s="8"/>
      <c r="AN159" s="8"/>
    </row>
    <row r="160" spans="1:40" ht="15.75">
      <c r="A160" s="33"/>
      <c r="B160" s="33"/>
      <c r="C160" s="8"/>
      <c r="D160" s="8"/>
      <c r="E160" s="8"/>
      <c r="F160" s="8"/>
      <c r="G160" s="33"/>
      <c r="H160" s="8"/>
      <c r="I160" s="8"/>
      <c r="J160" s="8"/>
      <c r="K160" s="8"/>
      <c r="L160" s="83"/>
      <c r="M160" s="8"/>
      <c r="N160" s="21"/>
      <c r="O160" s="15"/>
      <c r="P160" s="19"/>
      <c r="Q160" s="18"/>
      <c r="R160" s="15"/>
      <c r="S160" s="19"/>
      <c r="T160" s="19"/>
      <c r="U160" s="18"/>
      <c r="V160" s="18"/>
      <c r="W160" s="18"/>
      <c r="X160" s="18"/>
      <c r="Y160" s="33"/>
      <c r="Z160" s="8"/>
      <c r="AA160" s="33"/>
      <c r="AB160" s="8"/>
      <c r="AC160" s="8"/>
      <c r="AD160" s="33"/>
      <c r="AE160" s="8"/>
      <c r="AF160" s="8"/>
      <c r="AG160" s="8"/>
      <c r="AH160" s="8"/>
      <c r="AI160" s="8"/>
      <c r="AJ160" s="8"/>
      <c r="AK160" s="8"/>
      <c r="AL160" s="8"/>
      <c r="AM160" s="8"/>
      <c r="AN160" s="8"/>
    </row>
    <row r="161" spans="1:40" ht="15.75">
      <c r="A161" s="33"/>
      <c r="B161" s="33"/>
      <c r="C161" s="8"/>
      <c r="D161" s="8"/>
      <c r="E161" s="8"/>
      <c r="F161" s="8"/>
      <c r="G161" s="33"/>
      <c r="H161" s="8"/>
      <c r="I161" s="8"/>
      <c r="J161" s="8"/>
      <c r="K161" s="8"/>
      <c r="L161" s="83"/>
      <c r="M161" s="8"/>
      <c r="N161" s="21"/>
      <c r="O161" s="15"/>
      <c r="P161" s="19"/>
      <c r="Q161" s="18"/>
      <c r="R161" s="15"/>
      <c r="S161" s="19"/>
      <c r="T161" s="19"/>
      <c r="U161" s="18"/>
      <c r="V161" s="18"/>
      <c r="W161" s="18"/>
      <c r="X161" s="18"/>
      <c r="Y161" s="33"/>
      <c r="Z161" s="8"/>
      <c r="AA161" s="33"/>
      <c r="AB161" s="8"/>
      <c r="AC161" s="8"/>
      <c r="AD161" s="33"/>
      <c r="AE161" s="8"/>
      <c r="AF161" s="8"/>
      <c r="AG161" s="8"/>
      <c r="AH161" s="8"/>
      <c r="AI161" s="8"/>
      <c r="AJ161" s="8"/>
      <c r="AK161" s="8"/>
      <c r="AL161" s="8"/>
      <c r="AM161" s="8"/>
      <c r="AN161" s="8"/>
    </row>
    <row r="162" spans="1:40" ht="15.75">
      <c r="A162" s="33"/>
      <c r="B162" s="33"/>
      <c r="C162" s="8"/>
      <c r="D162" s="8"/>
      <c r="E162" s="8"/>
      <c r="F162" s="8"/>
      <c r="G162" s="33"/>
      <c r="H162" s="8"/>
      <c r="I162" s="8"/>
      <c r="J162" s="8"/>
      <c r="K162" s="8"/>
      <c r="L162" s="83"/>
      <c r="M162" s="8"/>
      <c r="N162" s="21"/>
      <c r="O162" s="15"/>
      <c r="P162" s="19"/>
      <c r="Q162" s="18"/>
      <c r="R162" s="15"/>
      <c r="S162" s="19"/>
      <c r="T162" s="19"/>
      <c r="U162" s="18"/>
      <c r="V162" s="18"/>
      <c r="W162" s="18"/>
      <c r="X162" s="18"/>
      <c r="Y162" s="33"/>
      <c r="Z162" s="8"/>
      <c r="AA162" s="33"/>
      <c r="AB162" s="8"/>
      <c r="AC162" s="8"/>
      <c r="AD162" s="33"/>
      <c r="AE162" s="8"/>
      <c r="AF162" s="8"/>
      <c r="AG162" s="8"/>
      <c r="AH162" s="8"/>
      <c r="AI162" s="8"/>
      <c r="AJ162" s="8"/>
      <c r="AK162" s="8"/>
      <c r="AL162" s="8"/>
      <c r="AM162" s="8"/>
      <c r="AN162" s="8"/>
    </row>
    <row r="163" spans="1:40" ht="15.75">
      <c r="A163" s="33"/>
      <c r="B163" s="33"/>
      <c r="C163" s="8"/>
      <c r="D163" s="8"/>
      <c r="E163" s="8"/>
      <c r="F163" s="8"/>
      <c r="G163" s="33"/>
      <c r="H163" s="8"/>
      <c r="I163" s="8"/>
      <c r="J163" s="8"/>
      <c r="K163" s="8"/>
      <c r="L163" s="83"/>
      <c r="M163" s="8"/>
      <c r="N163" s="21"/>
      <c r="O163" s="15"/>
      <c r="P163" s="19"/>
      <c r="Q163" s="18"/>
      <c r="R163" s="15"/>
      <c r="S163" s="19"/>
      <c r="T163" s="19"/>
      <c r="Y163" s="33"/>
      <c r="Z163" s="8"/>
      <c r="AA163" s="33"/>
      <c r="AB163" s="8"/>
      <c r="AC163" s="8"/>
      <c r="AD163" s="33"/>
      <c r="AE163" s="8"/>
      <c r="AF163" s="8"/>
      <c r="AG163" s="8"/>
      <c r="AH163" s="8"/>
      <c r="AI163" s="8"/>
      <c r="AJ163" s="8"/>
      <c r="AK163" s="8"/>
      <c r="AL163" s="8"/>
      <c r="AM163" s="8"/>
    </row>
    <row r="164" spans="1:40" ht="15.75">
      <c r="A164" s="33"/>
      <c r="B164" s="33"/>
      <c r="C164" s="8"/>
      <c r="D164" s="8"/>
      <c r="E164" s="8"/>
      <c r="F164" s="8"/>
      <c r="G164" s="33"/>
      <c r="H164" s="8"/>
      <c r="I164" s="8"/>
      <c r="J164" s="8"/>
      <c r="K164" s="8"/>
      <c r="L164" s="8"/>
      <c r="M164" s="8"/>
      <c r="N164" s="21"/>
      <c r="O164" s="15"/>
      <c r="P164" s="19"/>
      <c r="Q164" s="18"/>
      <c r="R164" s="15"/>
      <c r="S164" s="19"/>
      <c r="T164" s="19"/>
      <c r="Y164" s="33"/>
      <c r="Z164" s="8"/>
      <c r="AA164" s="33"/>
      <c r="AB164" s="8"/>
      <c r="AC164" s="8"/>
      <c r="AD164" s="33"/>
      <c r="AE164" s="8"/>
      <c r="AF164" s="8"/>
      <c r="AG164" s="8"/>
      <c r="AH164" s="8"/>
      <c r="AI164" s="8"/>
      <c r="AJ164" s="8"/>
      <c r="AK164" s="8"/>
      <c r="AL164" s="8"/>
      <c r="AM164" s="8"/>
    </row>
    <row r="165" spans="1:40" ht="15.75">
      <c r="A165" s="33"/>
      <c r="B165" s="33"/>
      <c r="C165" s="8"/>
      <c r="D165" s="8"/>
      <c r="E165" s="8"/>
      <c r="F165" s="8"/>
      <c r="G165" s="33"/>
      <c r="H165" s="8"/>
      <c r="I165" s="8"/>
      <c r="J165" s="8"/>
      <c r="K165" s="8"/>
      <c r="L165" s="8"/>
      <c r="M165" s="8"/>
      <c r="N165" s="21"/>
      <c r="O165" s="15"/>
      <c r="P165" s="19"/>
      <c r="Q165" s="18"/>
      <c r="R165" s="15"/>
      <c r="S165" s="19"/>
      <c r="T165" s="19"/>
      <c r="Y165" s="33"/>
      <c r="Z165" s="8"/>
      <c r="AA165" s="33"/>
      <c r="AB165" s="8"/>
      <c r="AC165" s="8"/>
      <c r="AD165" s="33"/>
      <c r="AE165" s="8"/>
      <c r="AF165" s="8"/>
      <c r="AG165" s="8"/>
      <c r="AH165" s="8"/>
      <c r="AI165" s="8"/>
      <c r="AJ165" s="8"/>
      <c r="AK165" s="8"/>
      <c r="AL165" s="8"/>
      <c r="AM165" s="8"/>
    </row>
    <row r="166" spans="1:40" ht="15.75">
      <c r="A166" s="33"/>
      <c r="B166" s="33"/>
      <c r="C166" s="8"/>
      <c r="D166" s="8"/>
      <c r="E166" s="8"/>
      <c r="F166" s="8"/>
      <c r="G166" s="33"/>
      <c r="H166" s="8"/>
      <c r="I166" s="8"/>
      <c r="J166" s="8"/>
      <c r="K166" s="8"/>
      <c r="L166" s="8"/>
      <c r="M166" s="8"/>
      <c r="N166" s="21"/>
      <c r="O166" s="15"/>
      <c r="P166" s="19"/>
      <c r="Q166" s="18"/>
      <c r="R166" s="15"/>
      <c r="S166" s="19"/>
      <c r="T166" s="19"/>
      <c r="Y166" s="33"/>
      <c r="Z166" s="8"/>
      <c r="AA166" s="33"/>
      <c r="AB166" s="8"/>
      <c r="AC166" s="8"/>
      <c r="AD166" s="33"/>
      <c r="AE166" s="8"/>
    </row>
    <row r="167" spans="1:40" ht="15.75">
      <c r="A167" s="33"/>
      <c r="B167" s="33"/>
      <c r="C167" s="8"/>
      <c r="D167" s="8"/>
      <c r="E167" s="8"/>
      <c r="F167" s="8"/>
      <c r="G167" s="33"/>
      <c r="H167" s="8"/>
      <c r="I167" s="8"/>
      <c r="J167" s="8"/>
      <c r="K167" s="8"/>
      <c r="L167" s="8"/>
      <c r="M167" s="8"/>
      <c r="N167" s="21"/>
      <c r="O167" s="15"/>
      <c r="P167" s="19"/>
      <c r="Q167" s="18"/>
      <c r="R167" s="15"/>
      <c r="S167" s="19"/>
      <c r="T167" s="19"/>
      <c r="Y167" s="33"/>
      <c r="Z167" s="8"/>
      <c r="AA167" s="33"/>
      <c r="AB167" s="8"/>
      <c r="AC167" s="8"/>
      <c r="AD167" s="33"/>
      <c r="AE167" s="8"/>
    </row>
    <row r="168" spans="1:40" ht="15.75">
      <c r="A168" s="33"/>
      <c r="B168" s="33"/>
      <c r="C168" s="8"/>
      <c r="D168" s="8"/>
      <c r="E168" s="8"/>
      <c r="F168" s="8"/>
      <c r="G168" s="33"/>
      <c r="H168" s="8"/>
      <c r="I168" s="8"/>
      <c r="J168" s="8"/>
      <c r="K168" s="8"/>
      <c r="L168" s="8"/>
      <c r="M168" s="8"/>
      <c r="N168" s="21"/>
      <c r="O168" s="15"/>
      <c r="P168" s="19"/>
      <c r="Q168" s="18"/>
      <c r="R168" s="15"/>
      <c r="S168" s="19"/>
      <c r="T168" s="19"/>
      <c r="Y168" s="33"/>
      <c r="Z168" s="8"/>
      <c r="AA168" s="33"/>
      <c r="AB168" s="8"/>
      <c r="AC168" s="8"/>
      <c r="AD168" s="33"/>
      <c r="AE168" s="8"/>
    </row>
    <row r="169" spans="1:40" ht="15.75">
      <c r="A169" s="33"/>
      <c r="B169" s="33"/>
      <c r="C169" s="8"/>
      <c r="D169" s="8"/>
      <c r="E169" s="8"/>
      <c r="F169" s="8"/>
      <c r="G169" s="33"/>
      <c r="H169" s="8"/>
      <c r="I169" s="8"/>
      <c r="J169" s="8"/>
      <c r="K169" s="8"/>
      <c r="L169" s="8"/>
      <c r="M169" s="8"/>
      <c r="N169" s="21"/>
      <c r="O169" s="15"/>
      <c r="P169" s="19"/>
      <c r="Q169" s="18"/>
      <c r="R169" s="15"/>
      <c r="S169" s="19"/>
      <c r="T169" s="19"/>
      <c r="Y169" s="14"/>
      <c r="AD169" s="14"/>
    </row>
    <row r="170" spans="1:40" ht="15.75">
      <c r="A170" s="33"/>
      <c r="B170" s="33"/>
      <c r="C170" s="8"/>
      <c r="D170" s="8"/>
      <c r="E170" s="8"/>
      <c r="F170" s="8"/>
      <c r="G170" s="33"/>
      <c r="H170" s="8"/>
      <c r="I170" s="8"/>
      <c r="J170" s="8"/>
      <c r="K170" s="8"/>
      <c r="L170" s="8"/>
      <c r="M170" s="8"/>
      <c r="N170" s="21"/>
      <c r="O170" s="15"/>
      <c r="P170" s="19"/>
      <c r="Q170" s="18"/>
      <c r="R170" s="15"/>
      <c r="S170" s="19"/>
      <c r="T170" s="19"/>
      <c r="Y170" s="14"/>
      <c r="AD170" s="14"/>
    </row>
    <row r="171" spans="1:40" ht="15.75">
      <c r="A171" s="33"/>
      <c r="B171" s="33"/>
      <c r="C171" s="8"/>
      <c r="D171" s="8"/>
      <c r="E171" s="8"/>
      <c r="F171" s="8"/>
      <c r="G171" s="33"/>
      <c r="H171" s="8"/>
      <c r="I171" s="8"/>
      <c r="J171" s="8"/>
      <c r="K171" s="8"/>
      <c r="L171" s="8"/>
      <c r="M171" s="8"/>
      <c r="N171" s="21"/>
      <c r="O171" s="15"/>
      <c r="P171" s="19"/>
      <c r="Q171" s="18"/>
      <c r="R171" s="15"/>
      <c r="S171" s="19"/>
      <c r="T171" s="19"/>
      <c r="Y171" s="14"/>
      <c r="AD171" s="14"/>
    </row>
    <row r="172" spans="1:40" ht="15.75">
      <c r="A172" s="33"/>
      <c r="B172" s="33"/>
      <c r="C172" s="8"/>
      <c r="D172" s="8"/>
      <c r="E172" s="8"/>
      <c r="F172" s="8"/>
      <c r="G172" s="33"/>
      <c r="H172" s="8"/>
      <c r="I172" s="8"/>
      <c r="J172" s="8"/>
      <c r="K172" s="8"/>
      <c r="L172" s="8"/>
      <c r="M172" s="8"/>
      <c r="N172" s="21"/>
      <c r="O172" s="15"/>
      <c r="P172" s="19"/>
      <c r="Q172" s="18"/>
      <c r="R172" s="15"/>
      <c r="S172" s="19"/>
      <c r="T172" s="19"/>
      <c r="Y172" s="14"/>
      <c r="AD172" s="14"/>
    </row>
    <row r="173" spans="1:40" ht="15.75">
      <c r="A173" s="33"/>
      <c r="B173" s="33"/>
      <c r="C173" s="8"/>
      <c r="D173" s="8"/>
      <c r="E173" s="8"/>
      <c r="F173" s="8"/>
      <c r="G173" s="33"/>
      <c r="H173" s="8"/>
      <c r="I173" s="8"/>
      <c r="J173" s="8"/>
      <c r="K173" s="8"/>
      <c r="L173" s="8"/>
      <c r="M173" s="8"/>
      <c r="N173" s="8"/>
      <c r="O173" s="8"/>
    </row>
    <row r="174" spans="1:40" ht="15.75">
      <c r="A174" s="33"/>
      <c r="B174" s="33"/>
      <c r="C174" s="8"/>
      <c r="D174" s="8"/>
      <c r="E174" s="8"/>
      <c r="F174" s="8"/>
      <c r="G174" s="33"/>
      <c r="H174" s="8"/>
      <c r="I174" s="8"/>
      <c r="J174" s="8"/>
      <c r="K174" s="8"/>
      <c r="L174" s="8"/>
      <c r="M174" s="8"/>
      <c r="N174" s="8"/>
      <c r="O174" s="8"/>
    </row>
    <row r="175" spans="1:40" ht="15.75">
      <c r="A175" s="33"/>
      <c r="B175" s="33"/>
      <c r="C175" s="8"/>
      <c r="D175" s="8"/>
      <c r="E175" s="8"/>
      <c r="F175" s="8"/>
      <c r="G175" s="33"/>
      <c r="H175" s="8"/>
      <c r="I175" s="8"/>
      <c r="J175" s="8"/>
      <c r="K175" s="8"/>
      <c r="L175" s="8"/>
      <c r="M175" s="8"/>
      <c r="N175" s="8"/>
      <c r="O175" s="8"/>
    </row>
    <row r="176" spans="1:40" ht="15.75">
      <c r="A176" s="33"/>
      <c r="B176" s="33"/>
      <c r="C176" s="8"/>
      <c r="D176" s="8"/>
      <c r="E176" s="8"/>
      <c r="F176" s="8"/>
      <c r="G176" s="33"/>
      <c r="H176" s="8"/>
      <c r="I176" s="8"/>
      <c r="J176" s="8"/>
      <c r="K176" s="8"/>
      <c r="L176" s="8"/>
      <c r="M176" s="8"/>
      <c r="N176" s="8"/>
      <c r="O176" s="8"/>
    </row>
    <row r="177" spans="1:15" ht="15.75">
      <c r="A177" s="33"/>
      <c r="B177" s="33"/>
      <c r="C177" s="8"/>
      <c r="D177" s="8"/>
      <c r="E177" s="8"/>
      <c r="F177" s="8"/>
      <c r="G177" s="33"/>
      <c r="H177" s="8"/>
      <c r="I177" s="8"/>
      <c r="J177" s="8"/>
      <c r="K177" s="8"/>
      <c r="L177" s="8"/>
      <c r="M177" s="8"/>
      <c r="N177" s="8"/>
      <c r="O177" s="8"/>
    </row>
    <row r="178" spans="1:15" ht="15.75">
      <c r="A178" s="33"/>
      <c r="B178" s="33"/>
      <c r="C178" s="8"/>
      <c r="D178" s="8"/>
      <c r="E178" s="8"/>
      <c r="F178" s="8"/>
      <c r="G178" s="33"/>
      <c r="H178" s="8"/>
      <c r="I178" s="8"/>
      <c r="J178" s="8"/>
      <c r="K178" s="8"/>
      <c r="L178" s="8"/>
      <c r="M178" s="8"/>
      <c r="N178" s="8"/>
      <c r="O178" s="8"/>
    </row>
    <row r="179" spans="1:15" ht="15.75">
      <c r="A179" s="33"/>
      <c r="B179" s="33"/>
      <c r="C179" s="8"/>
      <c r="D179" s="8"/>
      <c r="E179" s="8"/>
      <c r="F179" s="8"/>
      <c r="G179" s="33"/>
      <c r="H179" s="8"/>
      <c r="I179" s="8"/>
      <c r="J179" s="8"/>
      <c r="K179" s="8"/>
      <c r="L179" s="8"/>
      <c r="M179" s="8"/>
      <c r="N179" s="8"/>
      <c r="O179" s="8"/>
    </row>
    <row r="180" spans="1:15" ht="15.75">
      <c r="A180" s="33"/>
      <c r="B180" s="33"/>
      <c r="G180" s="33"/>
    </row>
    <row r="181" spans="1:15" ht="15.75">
      <c r="A181" s="33"/>
      <c r="B181" s="33"/>
      <c r="G181" s="33"/>
    </row>
    <row r="182" spans="1:15" ht="15.75">
      <c r="A182" s="33"/>
      <c r="B182" s="33"/>
      <c r="G182" s="33"/>
    </row>
    <row r="183" spans="1:15" ht="15.75">
      <c r="A183" s="33"/>
      <c r="B183" s="33"/>
      <c r="G183" s="33"/>
    </row>
    <row r="184" spans="1:15" ht="15.75">
      <c r="A184" s="33"/>
      <c r="B184" s="33"/>
      <c r="G184" s="33"/>
    </row>
    <row r="185" spans="1:15" ht="15.75">
      <c r="A185" s="33"/>
      <c r="B185" s="33"/>
      <c r="G185" s="33"/>
    </row>
    <row r="186" spans="1:15" ht="15.75">
      <c r="A186" s="33"/>
      <c r="B186" s="33"/>
      <c r="G186" s="33"/>
    </row>
    <row r="187" spans="1:15" ht="15.75">
      <c r="A187" s="33"/>
      <c r="B187" s="33"/>
      <c r="G187" s="33"/>
    </row>
    <row r="188" spans="1:15" ht="15.75">
      <c r="A188" s="33"/>
      <c r="B188" s="33"/>
      <c r="G188" s="33"/>
    </row>
    <row r="189" spans="1:15" ht="15.75">
      <c r="A189" s="33"/>
      <c r="B189" s="33"/>
      <c r="G189" s="33"/>
    </row>
    <row r="190" spans="1:15" ht="15.75">
      <c r="A190" s="33"/>
      <c r="B190" s="33"/>
      <c r="G190" s="33"/>
    </row>
    <row r="191" spans="1:15" ht="15.75">
      <c r="A191" s="33"/>
      <c r="B191" s="33"/>
      <c r="G191" s="33"/>
    </row>
    <row r="192" spans="1:15" ht="15.75">
      <c r="A192" s="33"/>
      <c r="B192" s="33"/>
      <c r="G192" s="33"/>
    </row>
    <row r="193" spans="1:7" ht="15.75">
      <c r="A193" s="33"/>
      <c r="B193" s="33"/>
      <c r="G193" s="33"/>
    </row>
    <row r="194" spans="1:7" ht="15.75">
      <c r="A194" s="33"/>
      <c r="B194" s="33"/>
      <c r="G194" s="33"/>
    </row>
    <row r="195" spans="1:7" ht="15.75">
      <c r="A195" s="33"/>
      <c r="B195" s="33"/>
      <c r="G195" s="33"/>
    </row>
    <row r="196" spans="1:7" ht="15.75">
      <c r="A196" s="33"/>
      <c r="B196" s="33"/>
      <c r="G196" s="33"/>
    </row>
    <row r="197" spans="1:7" ht="15.75">
      <c r="A197" s="33"/>
      <c r="B197" s="33"/>
      <c r="G197" s="33"/>
    </row>
    <row r="198" spans="1:7" ht="15.75">
      <c r="A198" s="33"/>
      <c r="B198" s="33"/>
      <c r="G198" s="33"/>
    </row>
    <row r="199" spans="1:7" ht="15.75">
      <c r="A199" s="33"/>
      <c r="B199" s="33"/>
      <c r="G199" s="33"/>
    </row>
    <row r="200" spans="1:7" ht="15.75">
      <c r="A200" s="33"/>
      <c r="B200" s="33"/>
      <c r="G200" s="33"/>
    </row>
    <row r="201" spans="1:7" ht="15.75">
      <c r="A201" s="33"/>
      <c r="B201" s="33"/>
      <c r="G201" s="33"/>
    </row>
    <row r="202" spans="1:7" ht="15.75">
      <c r="A202" s="33"/>
      <c r="B202" s="33"/>
      <c r="G202" s="33"/>
    </row>
    <row r="203" spans="1:7" ht="15.75">
      <c r="A203" s="33"/>
      <c r="B203" s="33"/>
      <c r="G203" s="33"/>
    </row>
    <row r="204" spans="1:7" ht="15.75">
      <c r="A204" s="33"/>
      <c r="B204" s="33"/>
      <c r="G204" s="33"/>
    </row>
    <row r="205" spans="1:7" ht="15.75">
      <c r="A205" s="33"/>
      <c r="B205" s="33"/>
      <c r="G205" s="33"/>
    </row>
    <row r="206" spans="1:7" ht="15.75">
      <c r="A206" s="33"/>
      <c r="B206" s="33"/>
      <c r="G206" s="33"/>
    </row>
    <row r="207" spans="1:7" ht="15.75">
      <c r="A207" s="33"/>
      <c r="B207" s="33"/>
      <c r="G207" s="33"/>
    </row>
    <row r="208" spans="1:7" ht="15.75">
      <c r="A208" s="33"/>
      <c r="B208" s="33"/>
      <c r="G208" s="33"/>
    </row>
    <row r="209" spans="1:7" ht="15.75">
      <c r="A209" s="33"/>
      <c r="B209" s="33"/>
      <c r="G209" s="33"/>
    </row>
    <row r="210" spans="1:7" ht="15.75">
      <c r="A210" s="33"/>
      <c r="B210" s="33"/>
      <c r="G210" s="33"/>
    </row>
    <row r="211" spans="1:7" ht="15.75">
      <c r="A211" s="33"/>
      <c r="B211" s="33"/>
      <c r="G211" s="33"/>
    </row>
    <row r="212" spans="1:7" ht="15.75">
      <c r="A212" s="33"/>
      <c r="B212" s="33"/>
      <c r="G212" s="33"/>
    </row>
    <row r="213" spans="1:7" ht="15.75">
      <c r="A213" s="33"/>
      <c r="B213" s="33"/>
      <c r="G213" s="33"/>
    </row>
    <row r="214" spans="1:7" ht="15.75">
      <c r="A214" s="33"/>
      <c r="B214" s="33"/>
      <c r="G214" s="33"/>
    </row>
    <row r="215" spans="1:7" ht="15.75">
      <c r="A215" s="33"/>
      <c r="B215" s="33"/>
      <c r="G215" s="33"/>
    </row>
    <row r="216" spans="1:7" ht="15.75">
      <c r="A216" s="33"/>
      <c r="B216" s="33"/>
      <c r="G216" s="33"/>
    </row>
    <row r="217" spans="1:7" ht="15.75">
      <c r="A217" s="33"/>
      <c r="B217" s="33"/>
      <c r="G217" s="33"/>
    </row>
    <row r="218" spans="1:7" ht="15.75">
      <c r="A218" s="33"/>
      <c r="B218" s="33"/>
      <c r="G218" s="33"/>
    </row>
    <row r="219" spans="1:7" ht="15.75">
      <c r="A219" s="33"/>
      <c r="B219" s="33"/>
      <c r="G219" s="33"/>
    </row>
    <row r="220" spans="1:7" ht="15.75">
      <c r="A220" s="33"/>
      <c r="B220" s="33"/>
      <c r="G220" s="33"/>
    </row>
    <row r="221" spans="1:7" ht="15.75">
      <c r="A221" s="33"/>
      <c r="B221" s="33"/>
      <c r="G221" s="33"/>
    </row>
    <row r="222" spans="1:7" ht="15.75">
      <c r="A222" s="33"/>
      <c r="B222" s="33"/>
      <c r="G222" s="33"/>
    </row>
    <row r="223" spans="1:7" ht="15.75">
      <c r="A223" s="33"/>
      <c r="B223" s="33"/>
      <c r="G223" s="33"/>
    </row>
    <row r="224" spans="1:7" ht="15.75">
      <c r="A224" s="33"/>
      <c r="B224" s="33"/>
      <c r="G224" s="33"/>
    </row>
    <row r="225" spans="1:7" ht="15.75">
      <c r="A225" s="33"/>
      <c r="B225" s="33"/>
      <c r="G225" s="33"/>
    </row>
    <row r="226" spans="1:7" ht="15.75">
      <c r="A226" s="33"/>
      <c r="B226" s="33"/>
      <c r="G226" s="33"/>
    </row>
    <row r="227" spans="1:7" ht="15.75">
      <c r="A227" s="33"/>
      <c r="B227" s="33"/>
      <c r="G227" s="33"/>
    </row>
    <row r="228" spans="1:7" ht="15.75">
      <c r="A228" s="33"/>
      <c r="B228" s="33"/>
      <c r="G228" s="33"/>
    </row>
    <row r="229" spans="1:7" ht="15.75">
      <c r="A229" s="33"/>
      <c r="B229" s="33"/>
      <c r="G229" s="33"/>
    </row>
    <row r="230" spans="1:7" ht="15.75">
      <c r="A230" s="33"/>
      <c r="B230" s="33"/>
      <c r="G230" s="33"/>
    </row>
    <row r="231" spans="1:7" ht="15.75">
      <c r="A231" s="33"/>
      <c r="B231" s="33"/>
      <c r="G231" s="33"/>
    </row>
    <row r="232" spans="1:7" ht="15.75">
      <c r="A232" s="33"/>
      <c r="B232" s="33"/>
      <c r="G232" s="33"/>
    </row>
    <row r="233" spans="1:7" ht="15.75">
      <c r="A233" s="33"/>
      <c r="B233" s="33"/>
      <c r="G233" s="33"/>
    </row>
    <row r="234" spans="1:7" ht="15.75">
      <c r="A234" s="33"/>
      <c r="B234" s="33"/>
      <c r="G234" s="33"/>
    </row>
    <row r="235" spans="1:7" ht="15.75">
      <c r="A235" s="33"/>
      <c r="B235" s="33"/>
      <c r="G235" s="33"/>
    </row>
    <row r="236" spans="1:7" ht="15.75">
      <c r="A236" s="33"/>
      <c r="B236" s="33"/>
      <c r="G236" s="33"/>
    </row>
    <row r="237" spans="1:7" ht="15.75">
      <c r="A237" s="33"/>
      <c r="B237" s="33"/>
      <c r="G237" s="33"/>
    </row>
    <row r="238" spans="1:7" ht="15.75">
      <c r="A238" s="33"/>
      <c r="B238" s="33"/>
      <c r="G238" s="33"/>
    </row>
    <row r="239" spans="1:7" ht="15.75">
      <c r="A239" s="33"/>
      <c r="B239" s="33"/>
      <c r="G239" s="33"/>
    </row>
    <row r="240" spans="1:7" ht="15.75">
      <c r="A240" s="33"/>
      <c r="B240" s="33"/>
      <c r="G240" s="33"/>
    </row>
    <row r="241" spans="1:7" ht="15.75">
      <c r="A241" s="33"/>
      <c r="B241" s="33"/>
      <c r="G241" s="33"/>
    </row>
    <row r="242" spans="1:7" ht="15.75">
      <c r="A242" s="33"/>
      <c r="B242" s="33"/>
      <c r="G242" s="33"/>
    </row>
    <row r="243" spans="1:7" ht="15.75">
      <c r="A243" s="33"/>
      <c r="B243" s="33"/>
      <c r="G243" s="33"/>
    </row>
    <row r="244" spans="1:7" ht="15.75">
      <c r="A244" s="33"/>
      <c r="B244" s="33"/>
      <c r="G244" s="33"/>
    </row>
    <row r="245" spans="1:7" ht="15.75">
      <c r="A245" s="33"/>
      <c r="B245" s="33"/>
      <c r="G245" s="33"/>
    </row>
    <row r="246" spans="1:7" ht="15.75">
      <c r="A246" s="33"/>
      <c r="B246" s="33"/>
      <c r="G246" s="33"/>
    </row>
    <row r="247" spans="1:7" ht="15.75">
      <c r="A247" s="33"/>
      <c r="B247" s="33"/>
      <c r="G247" s="33"/>
    </row>
    <row r="248" spans="1:7" ht="15.75">
      <c r="A248" s="33"/>
      <c r="B248" s="33"/>
      <c r="G248" s="33"/>
    </row>
    <row r="249" spans="1:7" ht="15.75">
      <c r="A249" s="33"/>
      <c r="B249" s="33"/>
      <c r="G249" s="33"/>
    </row>
    <row r="250" spans="1:7" ht="15.75">
      <c r="A250" s="33"/>
      <c r="B250" s="33"/>
      <c r="G250" s="33"/>
    </row>
    <row r="251" spans="1:7" ht="15.75">
      <c r="A251" s="33"/>
      <c r="B251" s="33"/>
      <c r="G251" s="33"/>
    </row>
    <row r="252" spans="1:7" ht="15.75">
      <c r="A252" s="33"/>
      <c r="B252" s="33"/>
      <c r="G252" s="33"/>
    </row>
    <row r="253" spans="1:7" ht="15.75">
      <c r="A253" s="33"/>
      <c r="B253" s="33"/>
      <c r="G253" s="33"/>
    </row>
    <row r="254" spans="1:7" ht="15.75">
      <c r="A254" s="33"/>
      <c r="B254" s="33"/>
      <c r="G254" s="33"/>
    </row>
    <row r="255" spans="1:7" ht="15.75">
      <c r="A255" s="33"/>
      <c r="B255" s="33"/>
      <c r="G255" s="33"/>
    </row>
    <row r="256" spans="1:7" ht="15.75">
      <c r="A256" s="33"/>
      <c r="B256" s="33"/>
      <c r="G256" s="33"/>
    </row>
    <row r="257" spans="1:7" ht="15.75">
      <c r="A257" s="33"/>
      <c r="B257" s="33"/>
      <c r="G257" s="33"/>
    </row>
    <row r="258" spans="1:7" ht="15.75">
      <c r="A258" s="33"/>
      <c r="B258" s="33"/>
      <c r="G258" s="33"/>
    </row>
    <row r="259" spans="1:7" ht="15.75">
      <c r="A259" s="33"/>
      <c r="B259" s="33"/>
      <c r="G259" s="33"/>
    </row>
    <row r="260" spans="1:7" ht="15.75">
      <c r="A260" s="33"/>
      <c r="B260" s="33"/>
      <c r="G260" s="33"/>
    </row>
    <row r="261" spans="1:7" ht="15.75">
      <c r="A261" s="33"/>
      <c r="B261" s="33"/>
      <c r="G261" s="33"/>
    </row>
    <row r="262" spans="1:7" ht="15.75">
      <c r="A262" s="33"/>
      <c r="B262" s="33"/>
      <c r="G262" s="33"/>
    </row>
    <row r="263" spans="1:7" ht="15.75">
      <c r="A263" s="33"/>
      <c r="B263" s="33"/>
      <c r="G263" s="33"/>
    </row>
    <row r="264" spans="1:7" ht="15.75">
      <c r="A264" s="33"/>
      <c r="B264" s="33"/>
      <c r="G264" s="33"/>
    </row>
    <row r="265" spans="1:7" ht="15.75">
      <c r="A265" s="33"/>
      <c r="B265" s="33"/>
      <c r="G265" s="33"/>
    </row>
    <row r="266" spans="1:7" ht="15.75">
      <c r="A266" s="33"/>
      <c r="B266" s="33"/>
      <c r="G266" s="33"/>
    </row>
    <row r="267" spans="1:7" ht="15.75">
      <c r="A267" s="33"/>
      <c r="B267" s="33"/>
      <c r="G267" s="33"/>
    </row>
    <row r="268" spans="1:7" ht="15.75">
      <c r="A268" s="33"/>
      <c r="B268" s="33"/>
      <c r="G268" s="33"/>
    </row>
    <row r="269" spans="1:7" ht="15.75">
      <c r="A269" s="33"/>
      <c r="B269" s="33"/>
      <c r="G269" s="33"/>
    </row>
    <row r="270" spans="1:7" ht="15.75">
      <c r="A270" s="33"/>
      <c r="B270" s="33"/>
      <c r="G270" s="33"/>
    </row>
    <row r="271" spans="1:7" ht="15.75">
      <c r="A271" s="33"/>
      <c r="B271" s="33"/>
      <c r="G271" s="33"/>
    </row>
    <row r="272" spans="1:7" ht="15.75">
      <c r="A272" s="33"/>
      <c r="B272" s="33"/>
      <c r="G272" s="33"/>
    </row>
    <row r="273" spans="1:7" ht="15.75">
      <c r="A273" s="33"/>
      <c r="B273" s="33"/>
      <c r="G273" s="33"/>
    </row>
    <row r="274" spans="1:7" ht="15.75">
      <c r="A274" s="33"/>
      <c r="B274" s="33"/>
      <c r="G274" s="33"/>
    </row>
    <row r="275" spans="1:7" ht="15.75">
      <c r="A275" s="33"/>
      <c r="B275" s="33"/>
      <c r="G275" s="33"/>
    </row>
    <row r="276" spans="1:7" ht="15.75">
      <c r="A276" s="33"/>
      <c r="B276" s="33"/>
      <c r="G276" s="33"/>
    </row>
    <row r="277" spans="1:7" ht="15.75">
      <c r="A277" s="33"/>
      <c r="B277" s="33"/>
      <c r="G277" s="33"/>
    </row>
    <row r="278" spans="1:7" ht="15.75">
      <c r="A278" s="33"/>
      <c r="B278" s="33"/>
      <c r="G278" s="33"/>
    </row>
    <row r="279" spans="1:7" ht="15.75">
      <c r="A279" s="33"/>
      <c r="B279" s="33"/>
      <c r="G279" s="33"/>
    </row>
    <row r="280" spans="1:7" ht="15.75">
      <c r="A280" s="33"/>
      <c r="B280" s="33"/>
      <c r="G280" s="33"/>
    </row>
    <row r="281" spans="1:7" ht="15.75">
      <c r="A281" s="33"/>
      <c r="B281" s="33"/>
      <c r="G281" s="33"/>
    </row>
    <row r="282" spans="1:7" ht="15.75">
      <c r="A282" s="33"/>
      <c r="B282" s="33"/>
      <c r="G282" s="33"/>
    </row>
    <row r="283" spans="1:7" ht="15.75">
      <c r="A283" s="33"/>
      <c r="B283" s="33"/>
      <c r="G283" s="33"/>
    </row>
    <row r="284" spans="1:7" ht="15.75">
      <c r="A284" s="33"/>
      <c r="B284" s="33"/>
      <c r="G284" s="33"/>
    </row>
    <row r="285" spans="1:7" ht="15.75">
      <c r="A285" s="33"/>
      <c r="B285" s="33"/>
      <c r="G285" s="33"/>
    </row>
    <row r="286" spans="1:7" ht="15.75">
      <c r="A286" s="33"/>
      <c r="B286" s="33"/>
      <c r="G286" s="33"/>
    </row>
    <row r="287" spans="1:7" ht="15.75">
      <c r="A287" s="33"/>
      <c r="B287" s="33"/>
      <c r="G287" s="33"/>
    </row>
    <row r="288" spans="1:7" ht="15.75">
      <c r="A288" s="33"/>
      <c r="B288" s="33"/>
      <c r="G288" s="33"/>
    </row>
    <row r="289" spans="1:7" ht="15.75">
      <c r="A289" s="33"/>
      <c r="B289" s="33"/>
      <c r="G289" s="33"/>
    </row>
    <row r="290" spans="1:7" ht="15.75">
      <c r="A290" s="33"/>
      <c r="B290" s="33"/>
      <c r="G290" s="33"/>
    </row>
    <row r="291" spans="1:7" ht="15.75">
      <c r="A291" s="33"/>
      <c r="B291" s="33"/>
      <c r="G291" s="33"/>
    </row>
    <row r="292" spans="1:7" ht="15.75">
      <c r="A292" s="33"/>
      <c r="B292" s="33"/>
      <c r="G292" s="33"/>
    </row>
    <row r="293" spans="1:7" ht="15.75">
      <c r="A293" s="33"/>
      <c r="B293" s="33"/>
      <c r="G293" s="33"/>
    </row>
    <row r="294" spans="1:7" ht="15.75">
      <c r="A294" s="33"/>
      <c r="B294" s="33"/>
      <c r="G294" s="33"/>
    </row>
    <row r="295" spans="1:7" ht="15.75">
      <c r="A295" s="33"/>
      <c r="B295" s="33"/>
      <c r="G295" s="33"/>
    </row>
    <row r="296" spans="1:7" ht="15.75">
      <c r="A296" s="33"/>
      <c r="B296" s="33"/>
      <c r="G296" s="33"/>
    </row>
    <row r="297" spans="1:7" ht="15.75">
      <c r="A297" s="33"/>
      <c r="B297" s="33"/>
      <c r="G297" s="33"/>
    </row>
    <row r="298" spans="1:7" ht="15.75">
      <c r="A298" s="33"/>
      <c r="B298" s="33"/>
      <c r="G298" s="33"/>
    </row>
    <row r="299" spans="1:7" ht="15.75">
      <c r="A299" s="33"/>
      <c r="B299" s="33"/>
      <c r="G299" s="33"/>
    </row>
    <row r="300" spans="1:7" ht="15.75">
      <c r="A300" s="33"/>
      <c r="B300" s="33"/>
      <c r="G300" s="33"/>
    </row>
    <row r="301" spans="1:7" ht="15.75">
      <c r="A301" s="33"/>
      <c r="B301" s="33"/>
      <c r="G301" s="33"/>
    </row>
    <row r="302" spans="1:7" ht="15.75">
      <c r="A302" s="33"/>
      <c r="B302" s="33"/>
      <c r="G302" s="33"/>
    </row>
    <row r="303" spans="1:7" ht="15.75">
      <c r="A303" s="33"/>
      <c r="B303" s="33"/>
      <c r="G303" s="33"/>
    </row>
    <row r="304" spans="1:7" ht="15.75">
      <c r="A304" s="33"/>
      <c r="B304" s="33"/>
      <c r="G304" s="33"/>
    </row>
    <row r="305" spans="1:7" ht="15.75">
      <c r="A305" s="33"/>
      <c r="B305" s="33"/>
      <c r="G305" s="33"/>
    </row>
    <row r="306" spans="1:7" ht="15.75">
      <c r="A306" s="33"/>
      <c r="B306" s="33"/>
      <c r="G306" s="33"/>
    </row>
    <row r="307" spans="1:7" ht="15.75">
      <c r="A307" s="33"/>
      <c r="B307" s="33"/>
      <c r="G307" s="33"/>
    </row>
    <row r="308" spans="1:7" ht="15.75">
      <c r="A308" s="33"/>
      <c r="B308" s="33"/>
      <c r="G308" s="33"/>
    </row>
    <row r="309" spans="1:7" ht="15.75">
      <c r="A309" s="33"/>
      <c r="B309" s="33"/>
      <c r="G309" s="33"/>
    </row>
    <row r="310" spans="1:7" ht="15.75">
      <c r="A310" s="33"/>
      <c r="B310" s="33"/>
      <c r="G310" s="33"/>
    </row>
    <row r="311" spans="1:7" ht="15.75">
      <c r="A311" s="33"/>
      <c r="B311" s="33"/>
      <c r="G311" s="33"/>
    </row>
    <row r="312" spans="1:7" ht="15.75">
      <c r="A312" s="33"/>
      <c r="B312" s="33"/>
      <c r="G312" s="33"/>
    </row>
    <row r="313" spans="1:7" ht="15.75">
      <c r="A313" s="33"/>
      <c r="B313" s="33"/>
      <c r="G313" s="33"/>
    </row>
    <row r="314" spans="1:7" ht="15.75">
      <c r="A314" s="33"/>
      <c r="B314" s="33"/>
      <c r="G314" s="33"/>
    </row>
    <row r="315" spans="1:7" ht="15.75">
      <c r="A315" s="33"/>
      <c r="B315" s="33"/>
      <c r="G315" s="33"/>
    </row>
    <row r="316" spans="1:7" ht="15.75">
      <c r="A316" s="33"/>
      <c r="B316" s="33"/>
      <c r="G316" s="33"/>
    </row>
    <row r="317" spans="1:7" ht="15.75">
      <c r="A317" s="33"/>
      <c r="B317" s="33"/>
      <c r="G317" s="33"/>
    </row>
    <row r="318" spans="1:7" ht="15.75">
      <c r="A318" s="33"/>
      <c r="B318" s="33"/>
      <c r="G318" s="33"/>
    </row>
    <row r="319" spans="1:7" ht="15.75">
      <c r="A319" s="33"/>
      <c r="B319" s="33"/>
      <c r="G319" s="33"/>
    </row>
    <row r="320" spans="1:7" ht="15.75">
      <c r="A320" s="33"/>
      <c r="B320" s="33"/>
      <c r="G320" s="33"/>
    </row>
    <row r="321" spans="1:7" ht="15.75">
      <c r="A321" s="33"/>
      <c r="B321" s="33"/>
      <c r="G321" s="33"/>
    </row>
    <row r="322" spans="1:7" ht="15.75">
      <c r="A322" s="33"/>
      <c r="B322" s="33"/>
      <c r="G322" s="33"/>
    </row>
    <row r="323" spans="1:7" ht="15.75">
      <c r="A323" s="33"/>
      <c r="B323" s="33"/>
      <c r="G323" s="33"/>
    </row>
    <row r="324" spans="1:7" ht="15.75">
      <c r="A324" s="33"/>
      <c r="B324" s="33"/>
      <c r="G324" s="33"/>
    </row>
    <row r="325" spans="1:7" ht="15.75">
      <c r="A325" s="33"/>
      <c r="B325" s="33"/>
      <c r="G325" s="33"/>
    </row>
    <row r="326" spans="1:7" ht="15.75">
      <c r="A326" s="33"/>
      <c r="B326" s="33"/>
      <c r="G326" s="33"/>
    </row>
    <row r="327" spans="1:7" ht="15.75">
      <c r="A327" s="33"/>
      <c r="B327" s="33"/>
      <c r="G327" s="33"/>
    </row>
    <row r="328" spans="1:7" ht="15.75">
      <c r="A328" s="33"/>
      <c r="B328" s="33"/>
      <c r="G328" s="33"/>
    </row>
    <row r="329" spans="1:7" ht="15.75">
      <c r="A329" s="33"/>
      <c r="B329" s="33"/>
      <c r="G329" s="33"/>
    </row>
    <row r="330" spans="1:7" ht="15.75">
      <c r="A330" s="33"/>
      <c r="B330" s="33"/>
      <c r="G330" s="33"/>
    </row>
    <row r="331" spans="1:7" ht="15.75">
      <c r="A331" s="33"/>
      <c r="B331" s="33"/>
      <c r="G331" s="33"/>
    </row>
    <row r="332" spans="1:7" ht="15.75">
      <c r="A332" s="33"/>
      <c r="B332" s="33"/>
      <c r="G332" s="33"/>
    </row>
    <row r="333" spans="1:7" ht="15.75">
      <c r="A333" s="33"/>
      <c r="B333" s="33"/>
      <c r="G333" s="33"/>
    </row>
    <row r="334" spans="1:7" ht="15.75">
      <c r="A334" s="33"/>
      <c r="B334" s="33"/>
      <c r="G334" s="33"/>
    </row>
    <row r="335" spans="1:7" ht="15.75">
      <c r="A335" s="33"/>
      <c r="B335" s="33"/>
      <c r="G335" s="33"/>
    </row>
    <row r="336" spans="1:7" ht="15.75">
      <c r="A336" s="33"/>
      <c r="B336" s="33"/>
      <c r="G336" s="33"/>
    </row>
    <row r="337" spans="1:7" ht="15.75">
      <c r="A337" s="33"/>
      <c r="B337" s="33"/>
      <c r="G337" s="33"/>
    </row>
    <row r="338" spans="1:7" ht="15.75">
      <c r="A338" s="33"/>
      <c r="B338" s="33"/>
      <c r="G338" s="33"/>
    </row>
    <row r="339" spans="1:7" ht="15.75">
      <c r="A339" s="33"/>
      <c r="B339" s="33"/>
      <c r="G339" s="33"/>
    </row>
    <row r="340" spans="1:7" ht="15.75">
      <c r="A340" s="33"/>
      <c r="B340" s="33"/>
      <c r="G340" s="33"/>
    </row>
    <row r="341" spans="1:7" ht="15.75">
      <c r="A341" s="33"/>
      <c r="B341" s="33"/>
      <c r="G341" s="33"/>
    </row>
    <row r="342" spans="1:7" ht="15.75">
      <c r="A342" s="33"/>
      <c r="B342" s="33"/>
      <c r="G342" s="33"/>
    </row>
    <row r="343" spans="1:7" ht="15.75">
      <c r="A343" s="33"/>
      <c r="B343" s="33"/>
      <c r="G343" s="33"/>
    </row>
    <row r="344" spans="1:7" ht="15.75">
      <c r="A344" s="33"/>
      <c r="B344" s="33"/>
      <c r="G344" s="33"/>
    </row>
    <row r="345" spans="1:7" ht="15.75">
      <c r="A345" s="33"/>
      <c r="B345" s="33"/>
      <c r="G345" s="33"/>
    </row>
    <row r="346" spans="1:7" ht="15.75">
      <c r="A346" s="33"/>
      <c r="B346" s="33"/>
      <c r="G346" s="33"/>
    </row>
    <row r="347" spans="1:7" ht="15.75">
      <c r="A347" s="33"/>
      <c r="B347" s="33"/>
      <c r="G347" s="33"/>
    </row>
    <row r="348" spans="1:7" ht="15.75">
      <c r="A348" s="33"/>
      <c r="B348" s="33"/>
      <c r="G348" s="33"/>
    </row>
    <row r="349" spans="1:7" ht="15.75">
      <c r="A349" s="33"/>
      <c r="B349" s="33"/>
      <c r="G349" s="33"/>
    </row>
    <row r="350" spans="1:7" ht="15.75">
      <c r="A350" s="33"/>
      <c r="B350" s="33"/>
      <c r="G350" s="33"/>
    </row>
    <row r="351" spans="1:7" ht="15.75">
      <c r="A351" s="33"/>
      <c r="B351" s="33"/>
      <c r="G351" s="33"/>
    </row>
    <row r="352" spans="1:7" ht="15.75">
      <c r="A352" s="33"/>
      <c r="B352" s="33"/>
      <c r="G352" s="33"/>
    </row>
    <row r="353" spans="1:7" ht="15.75">
      <c r="A353" s="33"/>
      <c r="B353" s="33"/>
      <c r="G353" s="33"/>
    </row>
    <row r="354" spans="1:7" ht="15.75">
      <c r="A354" s="33"/>
      <c r="B354" s="33"/>
      <c r="G354" s="33"/>
    </row>
    <row r="355" spans="1:7" ht="15.75">
      <c r="A355" s="33"/>
      <c r="B355" s="33"/>
      <c r="G355" s="33"/>
    </row>
    <row r="356" spans="1:7" ht="15.75">
      <c r="A356" s="33"/>
      <c r="B356" s="33"/>
      <c r="G356" s="33"/>
    </row>
    <row r="357" spans="1:7" ht="15.75">
      <c r="A357" s="33"/>
      <c r="B357" s="33"/>
      <c r="G357" s="33"/>
    </row>
    <row r="358" spans="1:7" ht="15.75">
      <c r="A358" s="33"/>
      <c r="B358" s="33"/>
      <c r="G358" s="33"/>
    </row>
    <row r="359" spans="1:7" ht="15.75">
      <c r="A359" s="33"/>
      <c r="B359" s="33"/>
      <c r="G359" s="33"/>
    </row>
    <row r="360" spans="1:7" ht="15.75">
      <c r="A360" s="33"/>
      <c r="B360" s="33"/>
      <c r="G360" s="33"/>
    </row>
    <row r="361" spans="1:7" ht="15.75">
      <c r="A361" s="33"/>
      <c r="B361" s="33"/>
      <c r="G361" s="33"/>
    </row>
    <row r="362" spans="1:7" ht="15.75">
      <c r="A362" s="33"/>
      <c r="B362" s="33"/>
      <c r="G362" s="33"/>
    </row>
    <row r="363" spans="1:7" ht="15.75">
      <c r="A363" s="33"/>
      <c r="B363" s="33"/>
      <c r="G363" s="33"/>
    </row>
    <row r="364" spans="1:7" ht="15.75">
      <c r="A364" s="33"/>
      <c r="B364" s="33"/>
      <c r="G364" s="33"/>
    </row>
    <row r="365" spans="1:7" ht="15.75">
      <c r="A365" s="33"/>
      <c r="B365" s="33"/>
      <c r="G365" s="33"/>
    </row>
    <row r="366" spans="1:7" ht="15.75">
      <c r="A366" s="33"/>
      <c r="B366" s="33"/>
      <c r="G366" s="33"/>
    </row>
    <row r="367" spans="1:7" ht="15.75">
      <c r="A367" s="33"/>
      <c r="B367" s="33"/>
      <c r="G367" s="33"/>
    </row>
    <row r="368" spans="1:7" ht="15.75">
      <c r="A368" s="33"/>
      <c r="B368" s="33"/>
      <c r="G368" s="33"/>
    </row>
    <row r="369" spans="1:7" ht="15.75">
      <c r="A369" s="33"/>
      <c r="B369" s="33"/>
      <c r="G369" s="33"/>
    </row>
    <row r="370" spans="1:7" ht="15.75">
      <c r="A370" s="33"/>
      <c r="B370" s="33"/>
      <c r="G370" s="33"/>
    </row>
    <row r="371" spans="1:7" ht="15.75">
      <c r="A371" s="33"/>
      <c r="B371" s="33"/>
      <c r="G371" s="33"/>
    </row>
    <row r="372" spans="1:7" ht="15.75">
      <c r="A372" s="33"/>
      <c r="B372" s="33"/>
      <c r="G372" s="33"/>
    </row>
    <row r="373" spans="1:7" ht="15.75">
      <c r="A373" s="33"/>
      <c r="B373" s="33"/>
      <c r="G373" s="33"/>
    </row>
    <row r="374" spans="1:7" ht="15.75">
      <c r="A374" s="33"/>
      <c r="B374" s="33"/>
      <c r="G374" s="33"/>
    </row>
    <row r="375" spans="1:7" ht="15.75">
      <c r="A375" s="33"/>
      <c r="B375" s="33"/>
      <c r="G375" s="33"/>
    </row>
    <row r="376" spans="1:7" ht="15.75">
      <c r="A376" s="33"/>
      <c r="B376" s="33"/>
      <c r="G376" s="33"/>
    </row>
    <row r="377" spans="1:7" ht="15.75">
      <c r="A377" s="33"/>
      <c r="B377" s="33"/>
      <c r="G377" s="33"/>
    </row>
    <row r="378" spans="1:7" ht="15.75">
      <c r="A378" s="33"/>
      <c r="B378" s="33"/>
      <c r="G378" s="33"/>
    </row>
    <row r="379" spans="1:7" ht="15.75">
      <c r="A379" s="33"/>
      <c r="B379" s="33"/>
      <c r="G379" s="33"/>
    </row>
    <row r="380" spans="1:7" ht="15.75">
      <c r="A380" s="33"/>
      <c r="B380" s="33"/>
      <c r="G380" s="33"/>
    </row>
    <row r="381" spans="1:7" ht="15.75">
      <c r="A381" s="33"/>
      <c r="B381" s="33"/>
      <c r="G381" s="33"/>
    </row>
    <row r="382" spans="1:7" ht="15.75">
      <c r="A382" s="33"/>
      <c r="B382" s="33"/>
      <c r="G382" s="33"/>
    </row>
    <row r="383" spans="1:7" ht="15.75">
      <c r="A383" s="33"/>
      <c r="B383" s="33"/>
      <c r="G383" s="33"/>
    </row>
    <row r="384" spans="1:7" ht="15.75">
      <c r="A384" s="33"/>
      <c r="B384" s="33"/>
      <c r="G384" s="33"/>
    </row>
    <row r="385" spans="1:7" ht="15.75">
      <c r="A385" s="33"/>
      <c r="B385" s="33"/>
      <c r="G385" s="33"/>
    </row>
    <row r="386" spans="1:7" ht="15.75">
      <c r="A386" s="33"/>
      <c r="B386" s="33"/>
      <c r="G386" s="33"/>
    </row>
    <row r="387" spans="1:7" ht="15.75">
      <c r="A387" s="33"/>
      <c r="B387" s="33"/>
      <c r="G387" s="33"/>
    </row>
    <row r="388" spans="1:7" ht="15.75">
      <c r="A388" s="33"/>
      <c r="B388" s="33"/>
      <c r="G388" s="33"/>
    </row>
    <row r="389" spans="1:7" ht="15.75">
      <c r="A389" s="33"/>
      <c r="B389" s="33"/>
      <c r="G389" s="33"/>
    </row>
    <row r="390" spans="1:7" ht="15.75">
      <c r="A390" s="33"/>
      <c r="B390" s="33"/>
      <c r="G390" s="33"/>
    </row>
    <row r="391" spans="1:7" ht="15.75">
      <c r="A391" s="33"/>
      <c r="B391" s="33"/>
      <c r="G391" s="33"/>
    </row>
    <row r="392" spans="1:7" ht="15.75">
      <c r="A392" s="33"/>
      <c r="B392" s="33"/>
      <c r="G392" s="33"/>
    </row>
    <row r="393" spans="1:7" ht="15.75">
      <c r="A393" s="33"/>
      <c r="B393" s="33"/>
      <c r="G393" s="33"/>
    </row>
    <row r="394" spans="1:7" ht="15.75">
      <c r="A394" s="33"/>
      <c r="B394" s="33"/>
      <c r="G394" s="33"/>
    </row>
    <row r="395" spans="1:7" ht="15.75">
      <c r="A395" s="33"/>
      <c r="B395" s="33"/>
      <c r="G395" s="33"/>
    </row>
    <row r="396" spans="1:7" ht="15.75">
      <c r="A396" s="33"/>
      <c r="B396" s="33"/>
      <c r="G396" s="33"/>
    </row>
    <row r="397" spans="1:7" ht="15.75">
      <c r="A397" s="33"/>
      <c r="B397" s="33"/>
      <c r="G397" s="33"/>
    </row>
    <row r="398" spans="1:7" ht="15.75">
      <c r="A398" s="33"/>
      <c r="B398" s="33"/>
      <c r="G398" s="33"/>
    </row>
    <row r="399" spans="1:7" ht="15.75">
      <c r="A399" s="33"/>
      <c r="B399" s="33"/>
      <c r="G399" s="33"/>
    </row>
    <row r="400" spans="1:7" ht="15.75">
      <c r="A400" s="33"/>
      <c r="B400" s="33"/>
      <c r="G400" s="33"/>
    </row>
    <row r="401" spans="1:7" ht="15.75">
      <c r="A401" s="33"/>
      <c r="B401" s="33"/>
      <c r="G401" s="33"/>
    </row>
    <row r="402" spans="1:7" ht="15.75">
      <c r="A402" s="33"/>
      <c r="B402" s="33"/>
      <c r="G402" s="33"/>
    </row>
    <row r="403" spans="1:7" ht="15.75">
      <c r="A403" s="33"/>
      <c r="B403" s="33"/>
      <c r="G403" s="33"/>
    </row>
    <row r="404" spans="1:7" ht="15.75">
      <c r="A404" s="33"/>
      <c r="B404" s="33"/>
      <c r="G404" s="33"/>
    </row>
    <row r="405" spans="1:7" ht="15.75">
      <c r="A405" s="33"/>
      <c r="B405" s="33"/>
      <c r="G405" s="33"/>
    </row>
    <row r="406" spans="1:7" ht="15.75">
      <c r="A406" s="33"/>
      <c r="B406" s="33"/>
      <c r="G406" s="33"/>
    </row>
    <row r="407" spans="1:7" ht="15.75">
      <c r="A407" s="33"/>
      <c r="B407" s="33"/>
      <c r="G407" s="33"/>
    </row>
    <row r="408" spans="1:7" ht="15.75">
      <c r="A408" s="33"/>
      <c r="B408" s="33"/>
      <c r="G408" s="33"/>
    </row>
    <row r="409" spans="1:7" ht="15.75">
      <c r="A409" s="33"/>
      <c r="B409" s="33"/>
      <c r="G409" s="33"/>
    </row>
    <row r="410" spans="1:7" ht="15.75">
      <c r="A410" s="33"/>
      <c r="B410" s="33"/>
      <c r="G410" s="33"/>
    </row>
    <row r="411" spans="1:7" ht="15.75">
      <c r="A411" s="33"/>
      <c r="B411" s="33"/>
      <c r="G411" s="33"/>
    </row>
    <row r="412" spans="1:7" ht="15.75">
      <c r="A412" s="33"/>
      <c r="B412" s="33"/>
      <c r="G412" s="33"/>
    </row>
    <row r="413" spans="1:7" ht="15.75">
      <c r="A413" s="33"/>
      <c r="B413" s="33"/>
      <c r="G413" s="33"/>
    </row>
    <row r="414" spans="1:7" ht="15.75">
      <c r="A414" s="33"/>
      <c r="B414" s="33"/>
      <c r="G414" s="33"/>
    </row>
    <row r="415" spans="1:7" ht="15.75">
      <c r="A415" s="33"/>
      <c r="B415" s="33"/>
      <c r="G415" s="33"/>
    </row>
    <row r="416" spans="1:7" ht="15.75">
      <c r="A416" s="33"/>
      <c r="B416" s="33"/>
      <c r="G416" s="33"/>
    </row>
    <row r="417" spans="1:7" ht="15.75">
      <c r="A417" s="33"/>
      <c r="B417" s="33"/>
      <c r="G417" s="33"/>
    </row>
    <row r="418" spans="1:7" ht="15.75">
      <c r="A418" s="33"/>
      <c r="B418" s="33"/>
      <c r="G418" s="33"/>
    </row>
    <row r="419" spans="1:7" ht="15.75">
      <c r="A419" s="33"/>
      <c r="B419" s="33"/>
      <c r="G419" s="33"/>
    </row>
    <row r="420" spans="1:7" ht="15.75">
      <c r="A420" s="33"/>
      <c r="B420" s="33"/>
      <c r="G420" s="33"/>
    </row>
    <row r="421" spans="1:7" ht="15.75">
      <c r="A421" s="33"/>
      <c r="B421" s="33"/>
      <c r="G421" s="33"/>
    </row>
    <row r="422" spans="1:7" ht="15.75">
      <c r="A422" s="33"/>
      <c r="B422" s="33"/>
      <c r="G422" s="33"/>
    </row>
    <row r="423" spans="1:7" ht="15.75">
      <c r="A423" s="33"/>
      <c r="B423" s="33"/>
      <c r="G423" s="33"/>
    </row>
    <row r="424" spans="1:7" ht="15.75">
      <c r="A424" s="33"/>
      <c r="B424" s="33"/>
      <c r="G424" s="33"/>
    </row>
    <row r="425" spans="1:7" ht="15.75">
      <c r="A425" s="33"/>
      <c r="B425" s="33"/>
      <c r="G425" s="33"/>
    </row>
    <row r="426" spans="1:7" ht="15.75">
      <c r="A426" s="33"/>
      <c r="B426" s="33"/>
      <c r="G426" s="33"/>
    </row>
    <row r="427" spans="1:7" ht="15.75">
      <c r="A427" s="33"/>
      <c r="B427" s="33"/>
      <c r="G427" s="33"/>
    </row>
    <row r="428" spans="1:7" ht="15.75">
      <c r="A428" s="33"/>
      <c r="B428" s="33"/>
      <c r="G428" s="33"/>
    </row>
    <row r="429" spans="1:7" ht="15.75">
      <c r="A429" s="33"/>
      <c r="B429" s="33"/>
      <c r="G429" s="33"/>
    </row>
    <row r="430" spans="1:7" ht="15.75">
      <c r="A430" s="33"/>
      <c r="B430" s="33"/>
      <c r="G430" s="33"/>
    </row>
    <row r="431" spans="1:7" ht="15.75">
      <c r="A431" s="33"/>
      <c r="B431" s="33"/>
      <c r="G431" s="33"/>
    </row>
    <row r="432" spans="1:7" ht="15.75">
      <c r="A432" s="33"/>
      <c r="B432" s="33"/>
      <c r="G432" s="33"/>
    </row>
    <row r="433" spans="1:7" ht="15.75">
      <c r="A433" s="33"/>
      <c r="B433" s="33"/>
      <c r="G433" s="33"/>
    </row>
    <row r="434" spans="1:7" ht="15.75">
      <c r="A434" s="33"/>
      <c r="B434" s="33"/>
      <c r="G434" s="33"/>
    </row>
    <row r="435" spans="1:7" ht="15.75">
      <c r="A435" s="33"/>
      <c r="B435" s="33"/>
      <c r="G435" s="33"/>
    </row>
    <row r="436" spans="1:7" ht="15.75">
      <c r="A436" s="33"/>
      <c r="B436" s="33"/>
      <c r="G436" s="33"/>
    </row>
    <row r="437" spans="1:7" ht="15.75">
      <c r="A437" s="33"/>
      <c r="B437" s="33"/>
      <c r="G437" s="33"/>
    </row>
    <row r="438" spans="1:7" ht="15.75">
      <c r="A438" s="33"/>
      <c r="B438" s="33"/>
      <c r="G438" s="33"/>
    </row>
    <row r="439" spans="1:7" ht="15.75">
      <c r="A439" s="33"/>
      <c r="B439" s="33"/>
      <c r="G439" s="33"/>
    </row>
    <row r="440" spans="1:7" ht="15.75">
      <c r="A440" s="33"/>
      <c r="B440" s="33"/>
      <c r="G440" s="33"/>
    </row>
    <row r="441" spans="1:7" ht="15.75">
      <c r="A441" s="33"/>
      <c r="B441" s="33"/>
      <c r="G441" s="33"/>
    </row>
    <row r="442" spans="1:7" ht="15.75">
      <c r="A442" s="33"/>
      <c r="B442" s="33"/>
      <c r="G442" s="33"/>
    </row>
    <row r="443" spans="1:7" ht="15.75">
      <c r="A443" s="33"/>
      <c r="B443" s="33"/>
      <c r="G443" s="33"/>
    </row>
    <row r="444" spans="1:7" ht="15.75">
      <c r="A444" s="33"/>
      <c r="B444" s="33"/>
      <c r="G444" s="33"/>
    </row>
    <row r="445" spans="1:7" ht="15.75">
      <c r="A445" s="33"/>
      <c r="B445" s="33"/>
      <c r="G445" s="33"/>
    </row>
    <row r="446" spans="1:7" ht="15.75">
      <c r="A446" s="33"/>
      <c r="B446" s="33"/>
      <c r="G446" s="33"/>
    </row>
    <row r="447" spans="1:7" ht="15.75">
      <c r="A447" s="33"/>
      <c r="B447" s="33"/>
      <c r="G447" s="33"/>
    </row>
    <row r="448" spans="1:7" ht="15.75">
      <c r="A448" s="33"/>
      <c r="B448" s="33"/>
      <c r="G448" s="33"/>
    </row>
    <row r="449" spans="1:7" ht="15.75">
      <c r="A449" s="33"/>
      <c r="B449" s="33"/>
      <c r="G449" s="33"/>
    </row>
    <row r="450" spans="1:7" ht="15.75">
      <c r="A450" s="33"/>
      <c r="B450" s="33"/>
      <c r="G450" s="33"/>
    </row>
    <row r="451" spans="1:7" ht="15.75">
      <c r="A451" s="33"/>
      <c r="B451" s="33"/>
      <c r="G451" s="33"/>
    </row>
    <row r="452" spans="1:7" ht="15.75">
      <c r="A452" s="33"/>
      <c r="B452" s="33"/>
      <c r="G452" s="33"/>
    </row>
    <row r="453" spans="1:7" ht="15.75">
      <c r="A453" s="33"/>
      <c r="B453" s="33"/>
      <c r="G453" s="33"/>
    </row>
    <row r="454" spans="1:7" ht="15.75">
      <c r="A454" s="33"/>
      <c r="B454" s="33"/>
      <c r="G454" s="33"/>
    </row>
    <row r="455" spans="1:7" ht="15.75">
      <c r="A455" s="33"/>
      <c r="B455" s="33"/>
      <c r="G455" s="33"/>
    </row>
    <row r="456" spans="1:7" ht="15.75">
      <c r="A456" s="33"/>
      <c r="B456" s="33"/>
      <c r="G456" s="33"/>
    </row>
    <row r="457" spans="1:7" ht="15.75">
      <c r="A457" s="33"/>
      <c r="B457" s="33"/>
      <c r="G457" s="33"/>
    </row>
    <row r="458" spans="1:7" ht="15.75">
      <c r="A458" s="33"/>
      <c r="B458" s="33"/>
      <c r="G458" s="33"/>
    </row>
    <row r="459" spans="1:7" ht="15.75">
      <c r="A459" s="33"/>
      <c r="B459" s="33"/>
      <c r="G459" s="33"/>
    </row>
    <row r="460" spans="1:7" ht="15.75">
      <c r="A460" s="33"/>
      <c r="B460" s="33"/>
      <c r="G460" s="33"/>
    </row>
    <row r="461" spans="1:7" ht="15.75">
      <c r="A461" s="33"/>
      <c r="B461" s="33"/>
      <c r="G461" s="33"/>
    </row>
    <row r="462" spans="1:7" ht="15.75">
      <c r="A462" s="33"/>
      <c r="B462" s="33"/>
      <c r="G462" s="33"/>
    </row>
    <row r="463" spans="1:7" ht="15.75">
      <c r="A463" s="33"/>
      <c r="B463" s="33"/>
      <c r="G463" s="33"/>
    </row>
    <row r="464" spans="1:7" ht="15.75">
      <c r="A464" s="33"/>
      <c r="B464" s="33"/>
      <c r="G464" s="33"/>
    </row>
    <row r="465" spans="1:7" ht="15.75">
      <c r="A465" s="33"/>
      <c r="B465" s="33"/>
      <c r="G465" s="33"/>
    </row>
    <row r="466" spans="1:7" ht="15.75">
      <c r="A466" s="33"/>
      <c r="B466" s="33"/>
      <c r="G466" s="33"/>
    </row>
    <row r="467" spans="1:7" ht="15.75">
      <c r="A467" s="33"/>
      <c r="B467" s="33"/>
      <c r="G467" s="33"/>
    </row>
    <row r="468" spans="1:7" ht="15.75">
      <c r="A468" s="33"/>
      <c r="B468" s="33"/>
      <c r="G468" s="33"/>
    </row>
    <row r="469" spans="1:7" ht="15.75">
      <c r="A469" s="33"/>
      <c r="B469" s="33"/>
      <c r="G469" s="33"/>
    </row>
    <row r="470" spans="1:7" ht="15.75">
      <c r="A470" s="33"/>
      <c r="B470" s="33"/>
      <c r="G470" s="33"/>
    </row>
    <row r="471" spans="1:7" ht="15.75">
      <c r="A471" s="33"/>
      <c r="B471" s="33"/>
      <c r="G471" s="33"/>
    </row>
    <row r="472" spans="1:7" ht="15.75">
      <c r="A472" s="33"/>
      <c r="B472" s="33"/>
      <c r="G472" s="33"/>
    </row>
    <row r="473" spans="1:7" ht="15.75">
      <c r="A473" s="33"/>
      <c r="B473" s="33"/>
      <c r="G473" s="33"/>
    </row>
    <row r="474" spans="1:7" ht="15.75">
      <c r="A474" s="33"/>
      <c r="B474" s="33"/>
      <c r="G474" s="33"/>
    </row>
    <row r="475" spans="1:7" ht="15.75">
      <c r="A475" s="33"/>
      <c r="B475" s="33"/>
      <c r="G475" s="33"/>
    </row>
    <row r="476" spans="1:7" ht="15.75">
      <c r="A476" s="33"/>
      <c r="B476" s="33"/>
      <c r="G476" s="33"/>
    </row>
    <row r="477" spans="1:7" ht="15.75">
      <c r="A477" s="33"/>
      <c r="B477" s="33"/>
      <c r="G477" s="33"/>
    </row>
    <row r="478" spans="1:7" ht="15.75">
      <c r="A478" s="33"/>
      <c r="B478" s="33"/>
      <c r="G478" s="33"/>
    </row>
    <row r="479" spans="1:7" ht="15.75">
      <c r="A479" s="33"/>
      <c r="B479" s="33"/>
      <c r="G479" s="33"/>
    </row>
    <row r="480" spans="1:7" ht="15.75">
      <c r="A480" s="33"/>
      <c r="B480" s="33"/>
      <c r="G480" s="33"/>
    </row>
    <row r="481" spans="1:7" ht="15.75">
      <c r="A481" s="33"/>
      <c r="B481" s="33"/>
      <c r="G481" s="33"/>
    </row>
    <row r="482" spans="1:7" ht="15.75">
      <c r="A482" s="33"/>
      <c r="B482" s="33"/>
      <c r="G482" s="33"/>
    </row>
    <row r="483" spans="1:7" ht="15.75">
      <c r="A483" s="33"/>
      <c r="B483" s="33"/>
      <c r="G483" s="33"/>
    </row>
    <row r="484" spans="1:7" ht="15.75">
      <c r="A484" s="33"/>
      <c r="B484" s="33"/>
      <c r="G484" s="33"/>
    </row>
    <row r="485" spans="1:7" ht="15.75">
      <c r="A485" s="33"/>
      <c r="B485" s="33"/>
      <c r="G485" s="33"/>
    </row>
    <row r="486" spans="1:7" ht="15.75">
      <c r="A486" s="33"/>
      <c r="B486" s="33"/>
      <c r="G486" s="33"/>
    </row>
    <row r="487" spans="1:7" ht="15.75">
      <c r="A487" s="33"/>
      <c r="B487" s="33"/>
      <c r="G487" s="33"/>
    </row>
    <row r="488" spans="1:7" ht="15.75">
      <c r="A488" s="33"/>
      <c r="B488" s="33"/>
      <c r="G488" s="33"/>
    </row>
    <row r="489" spans="1:7" ht="15.75">
      <c r="A489" s="33"/>
      <c r="B489" s="33"/>
      <c r="G489" s="33"/>
    </row>
    <row r="490" spans="1:7" ht="15.75">
      <c r="A490" s="33"/>
      <c r="B490" s="33"/>
      <c r="G490" s="33"/>
    </row>
    <row r="491" spans="1:7" ht="15.75">
      <c r="A491" s="33"/>
      <c r="B491" s="33"/>
      <c r="G491" s="33"/>
    </row>
    <row r="492" spans="1:7" ht="15.75">
      <c r="A492" s="33"/>
      <c r="B492" s="33"/>
      <c r="G492" s="33"/>
    </row>
    <row r="493" spans="1:7" ht="15.75">
      <c r="A493" s="33"/>
      <c r="B493" s="33"/>
      <c r="G493" s="33"/>
    </row>
    <row r="494" spans="1:7" ht="15.75">
      <c r="A494" s="33"/>
      <c r="B494" s="33"/>
      <c r="G494" s="33"/>
    </row>
    <row r="495" spans="1:7" ht="15.75">
      <c r="A495" s="33"/>
      <c r="B495" s="33"/>
      <c r="G495" s="33"/>
    </row>
    <row r="496" spans="1:7" ht="15.75">
      <c r="A496" s="33"/>
      <c r="B496" s="33"/>
      <c r="G496" s="33"/>
    </row>
    <row r="497" spans="1:7" ht="15.75">
      <c r="A497" s="33"/>
      <c r="B497" s="33"/>
      <c r="G497" s="33"/>
    </row>
    <row r="498" spans="1:7" ht="15.75">
      <c r="A498" s="33"/>
      <c r="B498" s="33"/>
      <c r="G498" s="33"/>
    </row>
    <row r="499" spans="1:7" ht="15.75">
      <c r="A499" s="33"/>
      <c r="B499" s="33"/>
      <c r="G499" s="33"/>
    </row>
    <row r="500" spans="1:7" ht="15.75">
      <c r="A500" s="33"/>
      <c r="B500" s="33"/>
      <c r="G500" s="33"/>
    </row>
    <row r="501" spans="1:7" ht="15.75">
      <c r="A501" s="33"/>
      <c r="B501" s="33"/>
      <c r="G501" s="33"/>
    </row>
    <row r="502" spans="1:7" ht="15.75">
      <c r="A502" s="33"/>
      <c r="B502" s="33"/>
      <c r="G502" s="33"/>
    </row>
    <row r="503" spans="1:7" ht="15.75">
      <c r="A503" s="33"/>
      <c r="B503" s="33"/>
      <c r="G503" s="33"/>
    </row>
    <row r="504" spans="1:7" ht="15.75">
      <c r="A504" s="33"/>
      <c r="B504" s="33"/>
      <c r="G504" s="33"/>
    </row>
    <row r="505" spans="1:7" ht="15.75">
      <c r="A505" s="33"/>
      <c r="B505" s="33"/>
      <c r="G505" s="33"/>
    </row>
    <row r="506" spans="1:7" ht="15.75">
      <c r="A506" s="33"/>
      <c r="B506" s="33"/>
      <c r="G506" s="33"/>
    </row>
    <row r="507" spans="1:7" ht="15.75">
      <c r="A507" s="33"/>
      <c r="B507" s="33"/>
      <c r="G507" s="33"/>
    </row>
    <row r="508" spans="1:7" ht="15.75">
      <c r="A508" s="33"/>
      <c r="B508" s="33"/>
      <c r="G508" s="33"/>
    </row>
    <row r="509" spans="1:7" ht="15.75">
      <c r="A509" s="33"/>
      <c r="B509" s="33"/>
      <c r="G509" s="33"/>
    </row>
    <row r="510" spans="1:7" ht="15.75">
      <c r="A510" s="33"/>
      <c r="B510" s="33"/>
      <c r="G510" s="33"/>
    </row>
    <row r="511" spans="1:7" ht="15.75">
      <c r="A511" s="33"/>
      <c r="B511" s="33"/>
      <c r="G511" s="33"/>
    </row>
    <row r="512" spans="1:7" ht="15.75">
      <c r="A512" s="33"/>
      <c r="B512" s="33"/>
      <c r="G512" s="33"/>
    </row>
    <row r="513" spans="1:7" ht="15.75">
      <c r="A513" s="33"/>
      <c r="B513" s="33"/>
      <c r="G513" s="33"/>
    </row>
    <row r="514" spans="1:7" ht="15.75">
      <c r="A514" s="33"/>
      <c r="B514" s="33"/>
      <c r="G514" s="33"/>
    </row>
    <row r="515" spans="1:7" ht="15.75">
      <c r="A515" s="33"/>
      <c r="B515" s="33"/>
      <c r="G515" s="33"/>
    </row>
    <row r="516" spans="1:7" ht="15.75">
      <c r="A516" s="33"/>
      <c r="B516" s="33"/>
      <c r="G516" s="33"/>
    </row>
    <row r="517" spans="1:7" ht="15.75">
      <c r="A517" s="33"/>
      <c r="B517" s="33"/>
      <c r="G517" s="33"/>
    </row>
    <row r="518" spans="1:7" ht="15.75">
      <c r="A518" s="33"/>
      <c r="B518" s="33"/>
      <c r="G518" s="33"/>
    </row>
    <row r="519" spans="1:7" ht="15.75">
      <c r="A519" s="33"/>
      <c r="B519" s="33"/>
      <c r="G519" s="33"/>
    </row>
    <row r="520" spans="1:7" ht="15.75">
      <c r="A520" s="33"/>
      <c r="B520" s="33"/>
      <c r="G520" s="33"/>
    </row>
    <row r="521" spans="1:7" ht="15.75">
      <c r="A521" s="33"/>
      <c r="B521" s="33"/>
      <c r="G521" s="33"/>
    </row>
    <row r="522" spans="1:7" ht="15.75">
      <c r="A522" s="33"/>
      <c r="B522" s="33"/>
      <c r="G522" s="33"/>
    </row>
    <row r="523" spans="1:7" ht="15.75">
      <c r="A523" s="33"/>
      <c r="B523" s="33"/>
      <c r="G523" s="33"/>
    </row>
    <row r="524" spans="1:7" ht="15.75">
      <c r="A524" s="33"/>
      <c r="B524" s="33"/>
      <c r="G524" s="33"/>
    </row>
    <row r="525" spans="1:7" ht="15.75">
      <c r="A525" s="33"/>
      <c r="B525" s="33"/>
      <c r="G525" s="33"/>
    </row>
    <row r="526" spans="1:7" ht="15.75">
      <c r="A526" s="33"/>
      <c r="B526" s="33"/>
      <c r="G526" s="33"/>
    </row>
    <row r="527" spans="1:7" ht="15.75">
      <c r="A527" s="33"/>
      <c r="B527" s="33"/>
      <c r="G527" s="33"/>
    </row>
    <row r="528" spans="1:7" ht="15.75">
      <c r="A528" s="33"/>
      <c r="B528" s="33"/>
      <c r="G528" s="33"/>
    </row>
    <row r="529" spans="1:7" ht="15.75">
      <c r="A529" s="33"/>
      <c r="B529" s="33"/>
      <c r="G529" s="33"/>
    </row>
    <row r="530" spans="1:7" ht="15.75">
      <c r="A530" s="33"/>
      <c r="B530" s="33"/>
      <c r="G530" s="33"/>
    </row>
    <row r="531" spans="1:7" ht="15.75">
      <c r="A531" s="33"/>
      <c r="B531" s="33"/>
      <c r="G531" s="33"/>
    </row>
    <row r="532" spans="1:7" ht="15.75">
      <c r="A532" s="33"/>
      <c r="B532" s="33"/>
      <c r="G532" s="33"/>
    </row>
    <row r="533" spans="1:7" ht="15.75">
      <c r="A533" s="33"/>
      <c r="B533" s="33"/>
      <c r="G533" s="33"/>
    </row>
    <row r="534" spans="1:7" ht="15.75">
      <c r="A534" s="33"/>
      <c r="B534" s="33"/>
      <c r="G534" s="33"/>
    </row>
    <row r="535" spans="1:7" ht="15.75">
      <c r="A535" s="33"/>
      <c r="B535" s="33"/>
      <c r="G535" s="33"/>
    </row>
    <row r="536" spans="1:7" ht="15.75">
      <c r="A536" s="33"/>
      <c r="B536" s="33"/>
      <c r="G536" s="33"/>
    </row>
    <row r="537" spans="1:7" ht="15.75">
      <c r="A537" s="33"/>
      <c r="B537" s="33"/>
      <c r="G537" s="33"/>
    </row>
    <row r="538" spans="1:7" ht="15.75">
      <c r="A538" s="33"/>
      <c r="B538" s="33"/>
      <c r="G538" s="33"/>
    </row>
    <row r="539" spans="1:7" ht="15.75">
      <c r="A539" s="33"/>
      <c r="B539" s="33"/>
      <c r="G539" s="33"/>
    </row>
    <row r="540" spans="1:7" ht="15.75">
      <c r="A540" s="33"/>
      <c r="B540" s="33"/>
      <c r="G540" s="33"/>
    </row>
    <row r="541" spans="1:7" ht="15.75">
      <c r="A541" s="33"/>
      <c r="B541" s="33"/>
      <c r="G541" s="33"/>
    </row>
    <row r="542" spans="1:7" ht="15.75">
      <c r="A542" s="33"/>
      <c r="B542" s="33"/>
      <c r="G542" s="33"/>
    </row>
    <row r="543" spans="1:7" ht="15.75">
      <c r="A543" s="33"/>
      <c r="B543" s="33"/>
      <c r="G543" s="33"/>
    </row>
    <row r="544" spans="1:7" ht="15.75">
      <c r="A544" s="33"/>
      <c r="B544" s="33"/>
      <c r="G544" s="33"/>
    </row>
    <row r="545" spans="1:7" ht="15.75">
      <c r="A545" s="33"/>
      <c r="B545" s="33"/>
      <c r="G545" s="33"/>
    </row>
    <row r="546" spans="1:7" ht="15.75">
      <c r="A546" s="33"/>
      <c r="B546" s="33"/>
      <c r="G546" s="33"/>
    </row>
    <row r="547" spans="1:7" ht="15.75">
      <c r="A547" s="33"/>
      <c r="B547" s="33"/>
      <c r="G547" s="33"/>
    </row>
    <row r="548" spans="1:7" ht="15.75">
      <c r="A548" s="33"/>
      <c r="B548" s="33"/>
      <c r="G548" s="33"/>
    </row>
    <row r="549" spans="1:7" ht="15.75">
      <c r="A549" s="33"/>
      <c r="B549" s="33"/>
      <c r="G549" s="33"/>
    </row>
    <row r="550" spans="1:7" ht="15.75">
      <c r="A550" s="33"/>
      <c r="B550" s="33"/>
      <c r="G550" s="33"/>
    </row>
    <row r="551" spans="1:7" ht="15.75">
      <c r="A551" s="33"/>
      <c r="B551" s="33"/>
      <c r="G551" s="33"/>
    </row>
    <row r="552" spans="1:7" ht="15.75">
      <c r="A552" s="33"/>
      <c r="B552" s="33"/>
      <c r="G552" s="33"/>
    </row>
    <row r="553" spans="1:7" ht="15.75">
      <c r="A553" s="33"/>
      <c r="B553" s="33"/>
      <c r="G553" s="33"/>
    </row>
    <row r="554" spans="1:7" ht="15.75">
      <c r="A554" s="33"/>
      <c r="B554" s="33"/>
      <c r="G554" s="33"/>
    </row>
    <row r="555" spans="1:7" ht="15.75">
      <c r="A555" s="33"/>
      <c r="B555" s="33"/>
      <c r="G555" s="33"/>
    </row>
    <row r="556" spans="1:7" ht="15.75">
      <c r="A556" s="33"/>
      <c r="B556" s="33"/>
      <c r="G556" s="33"/>
    </row>
    <row r="557" spans="1:7" ht="15.75">
      <c r="A557" s="33"/>
      <c r="B557" s="33"/>
      <c r="G557" s="33"/>
    </row>
    <row r="558" spans="1:7" ht="15.75">
      <c r="A558" s="33"/>
      <c r="B558" s="33"/>
      <c r="G558" s="33"/>
    </row>
    <row r="559" spans="1:7" ht="15.75">
      <c r="A559" s="33"/>
      <c r="B559" s="33"/>
      <c r="G559" s="33"/>
    </row>
    <row r="560" spans="1:7" ht="15.75">
      <c r="A560" s="33"/>
      <c r="B560" s="33"/>
      <c r="G560" s="33"/>
    </row>
    <row r="561" spans="1:7" ht="15.75">
      <c r="A561" s="33"/>
      <c r="B561" s="33"/>
      <c r="G561" s="33"/>
    </row>
    <row r="562" spans="1:7" ht="15.75">
      <c r="A562" s="33"/>
      <c r="B562" s="33"/>
      <c r="G562" s="33"/>
    </row>
    <row r="563" spans="1:7" ht="15.75">
      <c r="A563" s="33"/>
      <c r="B563" s="33"/>
      <c r="G563" s="33"/>
    </row>
    <row r="564" spans="1:7" ht="15.75">
      <c r="A564" s="33"/>
      <c r="B564" s="33"/>
      <c r="G564" s="33"/>
    </row>
    <row r="565" spans="1:7" ht="15.75">
      <c r="A565" s="33"/>
      <c r="B565" s="33"/>
      <c r="G565" s="33"/>
    </row>
    <row r="566" spans="1:7" ht="15.75">
      <c r="A566" s="33"/>
      <c r="B566" s="33"/>
      <c r="G566" s="33"/>
    </row>
    <row r="567" spans="1:7" ht="15.75">
      <c r="A567" s="33"/>
      <c r="B567" s="33"/>
      <c r="G567" s="33"/>
    </row>
    <row r="568" spans="1:7" ht="15.75">
      <c r="A568" s="33"/>
      <c r="B568" s="33"/>
      <c r="G568" s="33"/>
    </row>
    <row r="569" spans="1:7" ht="15.75">
      <c r="A569" s="33"/>
      <c r="B569" s="33"/>
      <c r="G569" s="33"/>
    </row>
    <row r="570" spans="1:7" ht="15.75">
      <c r="A570" s="33"/>
      <c r="B570" s="33"/>
      <c r="G570" s="33"/>
    </row>
    <row r="571" spans="1:7" ht="15.75">
      <c r="A571" s="33"/>
      <c r="B571" s="33"/>
      <c r="G571" s="33"/>
    </row>
    <row r="572" spans="1:7" ht="15.75">
      <c r="A572" s="33"/>
      <c r="B572" s="33"/>
      <c r="G572" s="33"/>
    </row>
    <row r="573" spans="1:7" ht="15.75">
      <c r="A573" s="33"/>
      <c r="B573" s="33"/>
      <c r="G573" s="33"/>
    </row>
    <row r="574" spans="1:7" ht="15.75">
      <c r="A574" s="33"/>
      <c r="B574" s="33"/>
      <c r="G574" s="33"/>
    </row>
    <row r="575" spans="1:7" ht="15.75">
      <c r="A575" s="33"/>
      <c r="B575" s="33"/>
      <c r="G575" s="33"/>
    </row>
    <row r="576" spans="1:7" ht="15.75">
      <c r="A576" s="33"/>
      <c r="B576" s="33"/>
      <c r="G576" s="33"/>
    </row>
    <row r="577" spans="1:7" ht="15.75">
      <c r="A577" s="33"/>
      <c r="B577" s="33"/>
      <c r="G577" s="33"/>
    </row>
    <row r="578" spans="1:7" ht="15.75">
      <c r="A578" s="33"/>
      <c r="B578" s="33"/>
      <c r="G578" s="33"/>
    </row>
    <row r="579" spans="1:7" ht="15.75">
      <c r="A579" s="33"/>
      <c r="B579" s="33"/>
      <c r="G579" s="33"/>
    </row>
    <row r="580" spans="1:7" ht="15.75">
      <c r="A580" s="33"/>
      <c r="B580" s="33"/>
      <c r="G580" s="33"/>
    </row>
    <row r="581" spans="1:7" ht="15.75">
      <c r="A581" s="33"/>
      <c r="B581" s="33"/>
      <c r="G581" s="33"/>
    </row>
    <row r="582" spans="1:7" ht="15.75">
      <c r="A582" s="33"/>
      <c r="B582" s="33"/>
      <c r="G582" s="33"/>
    </row>
    <row r="583" spans="1:7" ht="15.75">
      <c r="A583" s="33"/>
      <c r="B583" s="33"/>
      <c r="G583" s="33"/>
    </row>
    <row r="584" spans="1:7" ht="15.75">
      <c r="A584" s="33"/>
      <c r="B584" s="33"/>
      <c r="G584" s="33"/>
    </row>
    <row r="585" spans="1:7" ht="15.75">
      <c r="A585" s="33"/>
      <c r="B585" s="33"/>
      <c r="G585" s="33"/>
    </row>
    <row r="586" spans="1:7" ht="15.75">
      <c r="A586" s="33"/>
      <c r="B586" s="33"/>
      <c r="G586" s="33"/>
    </row>
    <row r="587" spans="1:7" ht="15.75">
      <c r="A587" s="33"/>
      <c r="B587" s="33"/>
      <c r="G587" s="33"/>
    </row>
    <row r="588" spans="1:7" ht="15.75">
      <c r="A588" s="33"/>
      <c r="B588" s="33"/>
      <c r="G588" s="33"/>
    </row>
    <row r="589" spans="1:7" ht="15.75">
      <c r="A589" s="33"/>
      <c r="B589" s="33"/>
      <c r="G589" s="33"/>
    </row>
    <row r="590" spans="1:7" ht="15.75">
      <c r="A590" s="33"/>
      <c r="B590" s="33"/>
      <c r="G590" s="33"/>
    </row>
    <row r="591" spans="1:7" ht="15.75">
      <c r="A591" s="33"/>
      <c r="B591" s="33"/>
      <c r="G591" s="33"/>
    </row>
    <row r="592" spans="1:7" ht="15.75">
      <c r="A592" s="33"/>
      <c r="B592" s="33"/>
      <c r="G592" s="33"/>
    </row>
    <row r="593" spans="1:7" ht="15.75">
      <c r="A593" s="33"/>
      <c r="B593" s="33"/>
      <c r="G593" s="33"/>
    </row>
    <row r="594" spans="1:7" ht="15.75">
      <c r="A594" s="33"/>
      <c r="B594" s="33"/>
      <c r="G594" s="33"/>
    </row>
    <row r="595" spans="1:7" ht="15.75">
      <c r="A595" s="33"/>
      <c r="B595" s="33"/>
      <c r="G595" s="33"/>
    </row>
    <row r="596" spans="1:7" ht="15.75">
      <c r="A596" s="33"/>
      <c r="B596" s="33"/>
      <c r="G596" s="33"/>
    </row>
    <row r="597" spans="1:7" ht="15.75">
      <c r="A597" s="33"/>
      <c r="B597" s="33"/>
      <c r="G597" s="33"/>
    </row>
    <row r="598" spans="1:7" ht="15.75">
      <c r="A598" s="33"/>
      <c r="B598" s="33"/>
      <c r="G598" s="33"/>
    </row>
    <row r="599" spans="1:7" ht="15.75">
      <c r="A599" s="33"/>
      <c r="B599" s="33"/>
      <c r="G599" s="33"/>
    </row>
    <row r="600" spans="1:7" ht="15.75">
      <c r="A600" s="33"/>
      <c r="B600" s="33"/>
      <c r="G600" s="33"/>
    </row>
    <row r="601" spans="1:7" ht="15.75">
      <c r="A601" s="33"/>
      <c r="B601" s="33"/>
      <c r="G601" s="33"/>
    </row>
    <row r="602" spans="1:7" ht="15.75">
      <c r="A602" s="33"/>
      <c r="B602" s="33"/>
      <c r="G602" s="33"/>
    </row>
    <row r="603" spans="1:7" ht="15.75">
      <c r="A603" s="33"/>
      <c r="B603" s="33"/>
      <c r="G603" s="33"/>
    </row>
    <row r="604" spans="1:7" ht="15.75">
      <c r="A604" s="33"/>
      <c r="B604" s="33"/>
      <c r="G604" s="33"/>
    </row>
    <row r="605" spans="1:7" ht="15.75">
      <c r="A605" s="33"/>
      <c r="B605" s="33"/>
      <c r="G605" s="33"/>
    </row>
    <row r="606" spans="1:7" ht="15.75">
      <c r="A606" s="33"/>
      <c r="B606" s="33"/>
      <c r="G606" s="33"/>
    </row>
    <row r="607" spans="1:7" ht="15.75">
      <c r="A607" s="33"/>
      <c r="B607" s="33"/>
      <c r="G607" s="33"/>
    </row>
    <row r="608" spans="1:7" ht="15.75">
      <c r="A608" s="33"/>
      <c r="B608" s="33"/>
      <c r="G608" s="33"/>
    </row>
    <row r="609" spans="1:7" ht="15.75">
      <c r="A609" s="33"/>
      <c r="B609" s="33"/>
      <c r="G609" s="33"/>
    </row>
    <row r="610" spans="1:7" ht="15.75">
      <c r="A610" s="33"/>
      <c r="B610" s="33"/>
      <c r="G610" s="33"/>
    </row>
    <row r="611" spans="1:7" ht="15.75">
      <c r="A611" s="33"/>
      <c r="B611" s="33"/>
      <c r="G611" s="33"/>
    </row>
    <row r="612" spans="1:7" ht="15.75">
      <c r="A612" s="33"/>
      <c r="B612" s="33"/>
      <c r="G612" s="33"/>
    </row>
    <row r="613" spans="1:7" ht="15.75">
      <c r="A613" s="33"/>
      <c r="B613" s="33"/>
      <c r="G613" s="33"/>
    </row>
    <row r="614" spans="1:7" ht="15.75">
      <c r="A614" s="33"/>
      <c r="B614" s="33"/>
      <c r="G614" s="33"/>
    </row>
    <row r="615" spans="1:7" ht="15.75">
      <c r="A615" s="33"/>
      <c r="B615" s="33"/>
      <c r="G615" s="33"/>
    </row>
    <row r="616" spans="1:7" ht="15.75">
      <c r="A616" s="33"/>
      <c r="B616" s="33"/>
      <c r="G616" s="33"/>
    </row>
    <row r="617" spans="1:7" ht="15.75">
      <c r="A617" s="33"/>
      <c r="B617" s="33"/>
      <c r="G617" s="33"/>
    </row>
    <row r="618" spans="1:7" ht="15.75">
      <c r="A618" s="33"/>
      <c r="B618" s="33"/>
      <c r="G618" s="33"/>
    </row>
    <row r="619" spans="1:7" ht="15.75">
      <c r="A619" s="33"/>
      <c r="B619" s="33"/>
      <c r="G619" s="33"/>
    </row>
    <row r="620" spans="1:7" ht="15.75">
      <c r="A620" s="33"/>
      <c r="B620" s="33"/>
      <c r="G620" s="33"/>
    </row>
    <row r="621" spans="1:7" ht="15.75">
      <c r="A621" s="33"/>
      <c r="B621" s="33"/>
      <c r="G621" s="33"/>
    </row>
    <row r="622" spans="1:7" ht="15.75">
      <c r="A622" s="33"/>
      <c r="B622" s="33"/>
      <c r="G622" s="33"/>
    </row>
    <row r="623" spans="1:7" ht="15.75">
      <c r="A623" s="33"/>
      <c r="B623" s="33"/>
      <c r="G623" s="33"/>
    </row>
    <row r="624" spans="1:7" ht="15.75">
      <c r="A624" s="33"/>
      <c r="B624" s="33"/>
      <c r="G624" s="33"/>
    </row>
    <row r="625" spans="1:7" ht="15.75">
      <c r="A625" s="33"/>
      <c r="B625" s="33"/>
      <c r="G625" s="33"/>
    </row>
    <row r="626" spans="1:7" ht="15.75">
      <c r="A626" s="33"/>
      <c r="B626" s="33"/>
      <c r="G626" s="33"/>
    </row>
    <row r="627" spans="1:7" ht="15.75">
      <c r="A627" s="33"/>
      <c r="B627" s="33"/>
      <c r="G627" s="33"/>
    </row>
    <row r="628" spans="1:7" ht="15.75">
      <c r="A628" s="33"/>
      <c r="B628" s="33"/>
      <c r="G628" s="33"/>
    </row>
    <row r="629" spans="1:7" ht="15.75">
      <c r="A629" s="33"/>
      <c r="B629" s="33"/>
      <c r="G629" s="33"/>
    </row>
    <row r="630" spans="1:7" ht="15.75">
      <c r="A630" s="33"/>
      <c r="B630" s="33"/>
      <c r="G630" s="33"/>
    </row>
    <row r="631" spans="1:7" ht="15.75">
      <c r="A631" s="33"/>
      <c r="B631" s="33"/>
      <c r="G631" s="33"/>
    </row>
    <row r="632" spans="1:7" ht="15.75">
      <c r="A632" s="33"/>
      <c r="B632" s="33"/>
      <c r="G632" s="33"/>
    </row>
    <row r="633" spans="1:7" ht="15.75">
      <c r="A633" s="33"/>
      <c r="B633" s="33"/>
      <c r="G633" s="33"/>
    </row>
    <row r="634" spans="1:7" ht="15.75">
      <c r="A634" s="33"/>
      <c r="B634" s="33"/>
      <c r="G634" s="33"/>
    </row>
    <row r="635" spans="1:7" ht="15.75">
      <c r="A635" s="33"/>
      <c r="B635" s="33"/>
      <c r="G635" s="33"/>
    </row>
    <row r="636" spans="1:7" ht="15.75">
      <c r="A636" s="33"/>
      <c r="B636" s="33"/>
      <c r="G636" s="33"/>
    </row>
    <row r="637" spans="1:7" ht="15.75">
      <c r="A637" s="33"/>
      <c r="B637" s="33"/>
      <c r="G637" s="33"/>
    </row>
    <row r="638" spans="1:7" ht="15.75">
      <c r="A638" s="33"/>
      <c r="B638" s="33"/>
      <c r="G638" s="33"/>
    </row>
    <row r="639" spans="1:7" ht="15.75">
      <c r="A639" s="33"/>
      <c r="B639" s="33"/>
      <c r="G639" s="33"/>
    </row>
    <row r="640" spans="1:7" ht="15.75">
      <c r="A640" s="33"/>
      <c r="B640" s="33"/>
      <c r="G640" s="33"/>
    </row>
    <row r="641" spans="1:7" ht="15.75">
      <c r="A641" s="33"/>
      <c r="B641" s="33"/>
      <c r="G641" s="33"/>
    </row>
    <row r="642" spans="1:7" ht="15.75">
      <c r="A642" s="33"/>
      <c r="B642" s="33"/>
      <c r="G642" s="33"/>
    </row>
    <row r="643" spans="1:7" ht="15.75">
      <c r="A643" s="33"/>
      <c r="B643" s="33"/>
      <c r="G643" s="33"/>
    </row>
    <row r="644" spans="1:7" ht="15.75">
      <c r="A644" s="33"/>
      <c r="B644" s="33"/>
      <c r="G644" s="33"/>
    </row>
    <row r="645" spans="1:7" ht="15.75">
      <c r="A645" s="33"/>
      <c r="B645" s="33"/>
      <c r="G645" s="33"/>
    </row>
    <row r="646" spans="1:7" ht="15.75">
      <c r="A646" s="33"/>
      <c r="B646" s="33"/>
      <c r="G646" s="33"/>
    </row>
    <row r="647" spans="1:7" ht="15.75">
      <c r="A647" s="33"/>
      <c r="B647" s="33"/>
      <c r="G647" s="33"/>
    </row>
    <row r="648" spans="1:7" ht="15.75">
      <c r="A648" s="33"/>
      <c r="B648" s="33"/>
      <c r="G648" s="33"/>
    </row>
    <row r="649" spans="1:7" ht="15.75">
      <c r="A649" s="33"/>
      <c r="B649" s="33"/>
      <c r="G649" s="33"/>
    </row>
    <row r="650" spans="1:7" ht="15.75">
      <c r="A650" s="33"/>
      <c r="B650" s="33"/>
      <c r="G650" s="33"/>
    </row>
    <row r="651" spans="1:7" ht="15.75">
      <c r="A651" s="33"/>
      <c r="B651" s="33"/>
      <c r="G651" s="33"/>
    </row>
    <row r="652" spans="1:7" ht="15.75">
      <c r="A652" s="33"/>
      <c r="B652" s="33"/>
      <c r="G652" s="33"/>
    </row>
    <row r="653" spans="1:7" ht="15.75">
      <c r="A653" s="33"/>
      <c r="B653" s="33"/>
      <c r="G653" s="33"/>
    </row>
    <row r="654" spans="1:7" ht="15.75">
      <c r="A654" s="33"/>
      <c r="B654" s="33"/>
      <c r="G654" s="33"/>
    </row>
    <row r="655" spans="1:7" ht="15.75">
      <c r="A655" s="33"/>
      <c r="B655" s="33"/>
      <c r="G655" s="33"/>
    </row>
    <row r="656" spans="1:7" ht="15.75">
      <c r="A656" s="33"/>
      <c r="B656" s="33"/>
      <c r="G656" s="33"/>
    </row>
    <row r="657" spans="1:7" ht="15.75">
      <c r="A657" s="33"/>
      <c r="B657" s="33"/>
      <c r="G657" s="33"/>
    </row>
    <row r="658" spans="1:7" ht="15.75">
      <c r="A658" s="33"/>
      <c r="B658" s="33"/>
      <c r="G658" s="33"/>
    </row>
    <row r="659" spans="1:7" ht="15.75">
      <c r="A659" s="33"/>
      <c r="B659" s="33"/>
      <c r="G659" s="33"/>
    </row>
    <row r="660" spans="1:7" ht="15.75">
      <c r="A660" s="33"/>
      <c r="B660" s="33"/>
      <c r="G660" s="33"/>
    </row>
    <row r="661" spans="1:7" ht="15.75">
      <c r="A661" s="33"/>
      <c r="B661" s="33"/>
      <c r="G661" s="33"/>
    </row>
    <row r="662" spans="1:7" ht="15.75">
      <c r="A662" s="33"/>
      <c r="B662" s="33"/>
      <c r="G662" s="33"/>
    </row>
    <row r="663" spans="1:7" ht="15.75">
      <c r="A663" s="33"/>
      <c r="B663" s="33"/>
      <c r="G663" s="33"/>
    </row>
    <row r="664" spans="1:7" ht="15.75">
      <c r="A664" s="33"/>
      <c r="B664" s="33"/>
      <c r="G664" s="33"/>
    </row>
    <row r="665" spans="1:7" ht="15.75">
      <c r="A665" s="33"/>
      <c r="B665" s="33"/>
      <c r="G665" s="33"/>
    </row>
    <row r="666" spans="1:7" ht="15.75">
      <c r="A666" s="33"/>
      <c r="B666" s="33"/>
      <c r="G666" s="33"/>
    </row>
    <row r="667" spans="1:7" ht="15.75">
      <c r="A667" s="33"/>
      <c r="B667" s="33"/>
      <c r="G667" s="33"/>
    </row>
    <row r="668" spans="1:7" ht="15.75">
      <c r="A668" s="33"/>
      <c r="B668" s="33"/>
      <c r="G668" s="33"/>
    </row>
    <row r="669" spans="1:7" ht="15.75">
      <c r="A669" s="33"/>
      <c r="B669" s="33"/>
      <c r="G669" s="33"/>
    </row>
    <row r="670" spans="1:7" ht="15.75">
      <c r="A670" s="33"/>
      <c r="B670" s="33"/>
      <c r="G670" s="33"/>
    </row>
    <row r="671" spans="1:7" ht="15.75">
      <c r="A671" s="33"/>
      <c r="B671" s="33"/>
      <c r="G671" s="33"/>
    </row>
    <row r="672" spans="1:7" ht="15.75">
      <c r="A672" s="33"/>
      <c r="B672" s="33"/>
      <c r="G672" s="33"/>
    </row>
    <row r="673" spans="1:7" ht="15.75">
      <c r="A673" s="33"/>
      <c r="B673" s="33"/>
      <c r="G673" s="33"/>
    </row>
    <row r="674" spans="1:7" ht="15.75">
      <c r="A674" s="33"/>
      <c r="B674" s="33"/>
      <c r="G674" s="33"/>
    </row>
    <row r="675" spans="1:7" ht="15.75">
      <c r="A675" s="33"/>
      <c r="B675" s="33"/>
      <c r="G675" s="33"/>
    </row>
    <row r="676" spans="1:7" ht="15.75">
      <c r="A676" s="33"/>
      <c r="B676" s="33"/>
      <c r="G676" s="33"/>
    </row>
    <row r="677" spans="1:7" ht="15.75">
      <c r="A677" s="33"/>
      <c r="B677" s="33"/>
      <c r="G677" s="33"/>
    </row>
    <row r="678" spans="1:7" ht="15.75">
      <c r="A678" s="33"/>
      <c r="B678" s="33"/>
      <c r="G678" s="33"/>
    </row>
    <row r="679" spans="1:7" ht="15.75">
      <c r="A679" s="33"/>
      <c r="B679" s="33"/>
      <c r="G679" s="33"/>
    </row>
    <row r="680" spans="1:7" ht="15.75">
      <c r="A680" s="33"/>
      <c r="B680" s="33"/>
      <c r="G680" s="33"/>
    </row>
    <row r="681" spans="1:7" ht="15.75">
      <c r="A681" s="33"/>
      <c r="B681" s="33"/>
      <c r="G681" s="33"/>
    </row>
    <row r="682" spans="1:7" ht="15.75">
      <c r="A682" s="33"/>
      <c r="B682" s="33"/>
      <c r="G682" s="33"/>
    </row>
    <row r="683" spans="1:7" ht="15.75">
      <c r="A683" s="33"/>
      <c r="B683" s="33"/>
      <c r="G683" s="33"/>
    </row>
    <row r="684" spans="1:7" ht="15.75">
      <c r="A684" s="33"/>
      <c r="B684" s="33"/>
      <c r="G684" s="33"/>
    </row>
    <row r="685" spans="1:7" ht="15.75">
      <c r="A685" s="33"/>
      <c r="B685" s="33"/>
      <c r="G685" s="33"/>
    </row>
    <row r="686" spans="1:7" ht="15.75">
      <c r="A686" s="33"/>
      <c r="B686" s="33"/>
      <c r="G686" s="33"/>
    </row>
    <row r="687" spans="1:7" ht="15.75">
      <c r="A687" s="33"/>
      <c r="B687" s="33"/>
      <c r="G687" s="33"/>
    </row>
    <row r="688" spans="1:7" ht="15.75">
      <c r="A688" s="33"/>
      <c r="B688" s="33"/>
      <c r="G688" s="33"/>
    </row>
    <row r="689" spans="1:7" ht="15.75">
      <c r="A689" s="33"/>
      <c r="B689" s="33"/>
      <c r="G689" s="33"/>
    </row>
    <row r="690" spans="1:7" ht="15.75">
      <c r="A690" s="33"/>
      <c r="B690" s="33"/>
      <c r="G690" s="33"/>
    </row>
    <row r="691" spans="1:7" ht="15.75">
      <c r="A691" s="33"/>
      <c r="B691" s="33"/>
      <c r="G691" s="33"/>
    </row>
    <row r="692" spans="1:7" ht="15.75">
      <c r="A692" s="33"/>
      <c r="B692" s="33"/>
      <c r="G692" s="33"/>
    </row>
    <row r="693" spans="1:7" ht="15.75">
      <c r="A693" s="33"/>
      <c r="B693" s="33"/>
      <c r="G693" s="33"/>
    </row>
    <row r="694" spans="1:7" ht="15.75">
      <c r="A694" s="33"/>
      <c r="B694" s="33"/>
      <c r="G694" s="33"/>
    </row>
    <row r="695" spans="1:7" ht="15.75">
      <c r="A695" s="33"/>
      <c r="B695" s="33"/>
      <c r="G695" s="33"/>
    </row>
    <row r="696" spans="1:7" ht="15.75">
      <c r="A696" s="33"/>
      <c r="B696" s="33"/>
      <c r="G696" s="33"/>
    </row>
    <row r="697" spans="1:7" ht="15.75">
      <c r="A697" s="33"/>
      <c r="B697" s="33"/>
      <c r="G697" s="33"/>
    </row>
    <row r="698" spans="1:7" ht="15.75">
      <c r="A698" s="33"/>
      <c r="B698" s="33"/>
      <c r="G698" s="33"/>
    </row>
    <row r="699" spans="1:7" ht="15.75">
      <c r="A699" s="33"/>
      <c r="B699" s="33"/>
      <c r="G699" s="33"/>
    </row>
    <row r="700" spans="1:7" ht="15.75">
      <c r="A700" s="33"/>
      <c r="B700" s="33"/>
      <c r="G700" s="33"/>
    </row>
    <row r="701" spans="1:7" ht="15.75">
      <c r="A701" s="33"/>
      <c r="B701" s="33"/>
      <c r="G701" s="33"/>
    </row>
    <row r="702" spans="1:7" ht="15.75">
      <c r="A702" s="33"/>
      <c r="B702" s="33"/>
      <c r="G702" s="33"/>
    </row>
    <row r="703" spans="1:7" ht="15.75">
      <c r="A703" s="33"/>
      <c r="B703" s="33"/>
      <c r="G703" s="33"/>
    </row>
    <row r="704" spans="1:7" ht="15.75">
      <c r="A704" s="33"/>
      <c r="B704" s="33"/>
      <c r="G704" s="33"/>
    </row>
    <row r="705" spans="1:7" ht="15.75">
      <c r="A705" s="33"/>
      <c r="B705" s="33"/>
      <c r="G705" s="33"/>
    </row>
    <row r="706" spans="1:7" ht="15.75">
      <c r="A706" s="33"/>
      <c r="B706" s="33"/>
      <c r="G706" s="33"/>
    </row>
    <row r="707" spans="1:7" ht="15.75">
      <c r="A707" s="33"/>
      <c r="B707" s="33"/>
      <c r="G707" s="33"/>
    </row>
    <row r="708" spans="1:7" ht="15.75">
      <c r="A708" s="33"/>
      <c r="B708" s="33"/>
      <c r="G708" s="33"/>
    </row>
    <row r="709" spans="1:7" ht="15.75">
      <c r="A709" s="33"/>
      <c r="B709" s="33"/>
      <c r="G709" s="33"/>
    </row>
    <row r="710" spans="1:7" ht="15.75">
      <c r="A710" s="33"/>
      <c r="B710" s="33"/>
      <c r="G710" s="33"/>
    </row>
    <row r="711" spans="1:7" ht="15.75">
      <c r="A711" s="33"/>
      <c r="B711" s="33"/>
      <c r="G711" s="33"/>
    </row>
    <row r="712" spans="1:7" ht="15.75">
      <c r="A712" s="33"/>
      <c r="B712" s="33"/>
      <c r="G712" s="33"/>
    </row>
    <row r="713" spans="1:7" ht="15.75">
      <c r="A713" s="33"/>
      <c r="B713" s="33"/>
      <c r="G713" s="33"/>
    </row>
    <row r="714" spans="1:7" ht="15.75">
      <c r="A714" s="33"/>
      <c r="B714" s="33"/>
      <c r="G714" s="33"/>
    </row>
    <row r="715" spans="1:7" ht="15.75">
      <c r="A715" s="33"/>
      <c r="B715" s="33"/>
      <c r="G715" s="33"/>
    </row>
    <row r="716" spans="1:7" ht="15.75">
      <c r="A716" s="33"/>
      <c r="B716" s="33"/>
      <c r="G716" s="33"/>
    </row>
    <row r="717" spans="1:7" ht="15.75">
      <c r="A717" s="33"/>
      <c r="B717" s="33"/>
      <c r="G717" s="33"/>
    </row>
    <row r="718" spans="1:7" ht="15.75">
      <c r="A718" s="33"/>
      <c r="B718" s="33"/>
      <c r="G718" s="33"/>
    </row>
    <row r="719" spans="1:7" ht="15.75">
      <c r="A719" s="33"/>
      <c r="B719" s="33"/>
      <c r="G719" s="33"/>
    </row>
    <row r="720" spans="1:7" ht="15.75">
      <c r="A720" s="33"/>
      <c r="B720" s="33"/>
      <c r="G720" s="33"/>
    </row>
    <row r="721" spans="1:7" ht="15.75">
      <c r="A721" s="33"/>
      <c r="B721" s="33"/>
      <c r="G721" s="33"/>
    </row>
    <row r="722" spans="1:7" ht="15.75">
      <c r="A722" s="33"/>
      <c r="B722" s="33"/>
      <c r="G722" s="33"/>
    </row>
    <row r="723" spans="1:7" ht="15.75">
      <c r="A723" s="33"/>
      <c r="B723" s="33"/>
      <c r="G723" s="33"/>
    </row>
    <row r="724" spans="1:7" ht="15.75">
      <c r="A724" s="33"/>
      <c r="B724" s="33"/>
      <c r="G724" s="33"/>
    </row>
    <row r="725" spans="1:7" ht="15.75">
      <c r="A725" s="33"/>
      <c r="B725" s="33"/>
      <c r="G725" s="33"/>
    </row>
    <row r="726" spans="1:7" ht="15.75">
      <c r="A726" s="33"/>
      <c r="B726" s="33"/>
      <c r="G726" s="33"/>
    </row>
    <row r="727" spans="1:7" ht="15.75">
      <c r="A727" s="33"/>
      <c r="B727" s="33"/>
      <c r="G727" s="33"/>
    </row>
    <row r="728" spans="1:7" ht="15.75">
      <c r="A728" s="33"/>
      <c r="B728" s="33"/>
      <c r="G728" s="33"/>
    </row>
    <row r="729" spans="1:7" ht="15.75">
      <c r="A729" s="33"/>
      <c r="B729" s="33"/>
      <c r="G729" s="33"/>
    </row>
    <row r="730" spans="1:7" ht="15.75">
      <c r="A730" s="33"/>
      <c r="B730" s="33"/>
      <c r="G730" s="33"/>
    </row>
    <row r="731" spans="1:7" ht="15.75">
      <c r="A731" s="33"/>
      <c r="B731" s="33"/>
      <c r="G731" s="33"/>
    </row>
    <row r="732" spans="1:7" ht="15.75">
      <c r="A732" s="33"/>
      <c r="B732" s="33"/>
      <c r="G732" s="33"/>
    </row>
    <row r="733" spans="1:7" ht="15.75">
      <c r="A733" s="33"/>
      <c r="B733" s="33"/>
      <c r="G733" s="33"/>
    </row>
    <row r="734" spans="1:7" ht="15.75">
      <c r="A734" s="33"/>
      <c r="B734" s="33"/>
      <c r="G734" s="33"/>
    </row>
    <row r="735" spans="1:7" ht="15.75">
      <c r="A735" s="33"/>
      <c r="B735" s="33"/>
      <c r="G735" s="33"/>
    </row>
    <row r="736" spans="1:7" ht="15.75">
      <c r="A736" s="33"/>
      <c r="B736" s="33"/>
      <c r="G736" s="33"/>
    </row>
    <row r="737" spans="1:7" ht="15.75">
      <c r="A737" s="33"/>
      <c r="B737" s="33"/>
      <c r="G737" s="33"/>
    </row>
    <row r="738" spans="1:7" ht="15.75">
      <c r="A738" s="33"/>
      <c r="B738" s="33"/>
      <c r="G738" s="33"/>
    </row>
    <row r="739" spans="1:7" ht="15.75">
      <c r="A739" s="33"/>
      <c r="B739" s="33"/>
      <c r="G739" s="33"/>
    </row>
    <row r="740" spans="1:7" ht="15.75">
      <c r="A740" s="33"/>
      <c r="B740" s="33"/>
      <c r="G740" s="33"/>
    </row>
    <row r="741" spans="1:7" ht="15.75">
      <c r="A741" s="33"/>
      <c r="B741" s="33"/>
      <c r="G741" s="33"/>
    </row>
    <row r="742" spans="1:7" ht="15.75">
      <c r="A742" s="33"/>
      <c r="B742" s="33"/>
      <c r="G742" s="33"/>
    </row>
    <row r="743" spans="1:7" ht="15.75">
      <c r="A743" s="33"/>
      <c r="B743" s="33"/>
      <c r="G743" s="33"/>
    </row>
    <row r="744" spans="1:7" ht="15.75">
      <c r="A744" s="33"/>
      <c r="B744" s="33"/>
      <c r="G744" s="33"/>
    </row>
    <row r="745" spans="1:7" ht="15.75">
      <c r="A745" s="33"/>
      <c r="B745" s="33"/>
      <c r="G745" s="33"/>
    </row>
    <row r="746" spans="1:7" ht="15.75">
      <c r="A746" s="33"/>
      <c r="B746" s="33"/>
      <c r="G746" s="33"/>
    </row>
    <row r="747" spans="1:7" ht="15.75">
      <c r="A747" s="33"/>
      <c r="B747" s="33"/>
      <c r="G747" s="33"/>
    </row>
    <row r="748" spans="1:7" ht="15.75">
      <c r="A748" s="33"/>
      <c r="B748" s="33"/>
      <c r="G748" s="33"/>
    </row>
    <row r="749" spans="1:7" ht="15.75">
      <c r="A749" s="33"/>
      <c r="B749" s="33"/>
      <c r="G749" s="33"/>
    </row>
    <row r="750" spans="1:7" ht="15.75">
      <c r="A750" s="33"/>
      <c r="B750" s="33"/>
      <c r="G750" s="33"/>
    </row>
    <row r="751" spans="1:7" ht="15.75">
      <c r="A751" s="33"/>
      <c r="B751" s="33"/>
      <c r="G751" s="33"/>
    </row>
    <row r="752" spans="1:7" ht="15.75">
      <c r="A752" s="33"/>
      <c r="B752" s="33"/>
      <c r="G752" s="33"/>
    </row>
    <row r="753" spans="1:7" ht="15.75">
      <c r="A753" s="33"/>
      <c r="B753" s="33"/>
      <c r="G753" s="33"/>
    </row>
    <row r="754" spans="1:7" ht="15.75">
      <c r="A754" s="33"/>
      <c r="B754" s="33"/>
      <c r="G754" s="33"/>
    </row>
    <row r="755" spans="1:7" ht="15.75">
      <c r="A755" s="33"/>
      <c r="B755" s="33"/>
      <c r="G755" s="33"/>
    </row>
    <row r="756" spans="1:7" ht="15.75">
      <c r="A756" s="33"/>
      <c r="B756" s="33"/>
      <c r="G756" s="33"/>
    </row>
    <row r="757" spans="1:7" ht="15.75">
      <c r="A757" s="33"/>
      <c r="B757" s="33"/>
      <c r="G757" s="33"/>
    </row>
    <row r="758" spans="1:7" ht="15.75">
      <c r="A758" s="33"/>
      <c r="B758" s="33"/>
      <c r="G758" s="33"/>
    </row>
    <row r="759" spans="1:7" ht="15.75">
      <c r="A759" s="33"/>
      <c r="B759" s="33"/>
      <c r="G759" s="33"/>
    </row>
    <row r="760" spans="1:7" ht="15.75">
      <c r="A760" s="33"/>
      <c r="B760" s="33"/>
      <c r="G760" s="33"/>
    </row>
    <row r="761" spans="1:7" ht="15.75">
      <c r="A761" s="33"/>
      <c r="B761" s="33"/>
      <c r="G761" s="33"/>
    </row>
    <row r="762" spans="1:7" ht="15.75">
      <c r="A762" s="33"/>
      <c r="B762" s="33"/>
      <c r="G762" s="33"/>
    </row>
    <row r="763" spans="1:7" ht="15.75">
      <c r="A763" s="33"/>
      <c r="B763" s="33"/>
      <c r="G763" s="33"/>
    </row>
    <row r="764" spans="1:7" ht="15.75">
      <c r="A764" s="33"/>
      <c r="B764" s="33"/>
      <c r="G764" s="33"/>
    </row>
    <row r="765" spans="1:7" ht="15.75">
      <c r="A765" s="33"/>
      <c r="B765" s="33"/>
      <c r="G765" s="33"/>
    </row>
    <row r="766" spans="1:7" ht="15.75">
      <c r="A766" s="33"/>
      <c r="B766" s="33"/>
      <c r="G766" s="33"/>
    </row>
    <row r="767" spans="1:7" ht="15.75">
      <c r="A767" s="33"/>
      <c r="B767" s="33"/>
      <c r="G767" s="33"/>
    </row>
    <row r="768" spans="1:7" ht="15.75">
      <c r="A768" s="33"/>
      <c r="B768" s="33"/>
      <c r="G768" s="33"/>
    </row>
    <row r="769" spans="1:7" ht="15.75">
      <c r="A769" s="33"/>
      <c r="B769" s="33"/>
      <c r="G769" s="33"/>
    </row>
    <row r="770" spans="1:7" ht="15.75">
      <c r="A770" s="33"/>
      <c r="B770" s="33"/>
      <c r="G770" s="33"/>
    </row>
    <row r="771" spans="1:7" ht="15.75">
      <c r="A771" s="33"/>
      <c r="B771" s="33"/>
      <c r="G771" s="33"/>
    </row>
    <row r="772" spans="1:7" ht="15.75">
      <c r="A772" s="33"/>
      <c r="B772" s="33"/>
      <c r="G772" s="33"/>
    </row>
    <row r="773" spans="1:7" ht="15.75">
      <c r="A773" s="33"/>
      <c r="B773" s="33"/>
      <c r="G773" s="33"/>
    </row>
    <row r="774" spans="1:7" ht="15.75">
      <c r="A774" s="33"/>
      <c r="B774" s="33"/>
      <c r="G774" s="33"/>
    </row>
    <row r="775" spans="1:7" ht="15.75">
      <c r="A775" s="33"/>
      <c r="B775" s="33"/>
      <c r="G775" s="33"/>
    </row>
    <row r="776" spans="1:7" ht="15.75">
      <c r="A776" s="33"/>
      <c r="B776" s="33"/>
      <c r="G776" s="33"/>
    </row>
    <row r="777" spans="1:7" ht="15.75">
      <c r="A777" s="33"/>
      <c r="B777" s="33"/>
      <c r="G777" s="33"/>
    </row>
    <row r="778" spans="1:7" ht="15.75">
      <c r="A778" s="33"/>
      <c r="B778" s="33"/>
      <c r="G778" s="33"/>
    </row>
    <row r="779" spans="1:7" ht="15.75">
      <c r="A779" s="33"/>
      <c r="B779" s="33"/>
      <c r="G779" s="33"/>
    </row>
    <row r="780" spans="1:7" ht="15.75">
      <c r="A780" s="33"/>
      <c r="B780" s="33"/>
      <c r="G780" s="33"/>
    </row>
    <row r="781" spans="1:7" ht="15.75">
      <c r="A781" s="33"/>
      <c r="B781" s="33"/>
      <c r="G781" s="33"/>
    </row>
    <row r="782" spans="1:7" ht="15.75">
      <c r="A782" s="33"/>
      <c r="B782" s="33"/>
      <c r="G782" s="33"/>
    </row>
    <row r="783" spans="1:7" ht="15.75">
      <c r="A783" s="33"/>
      <c r="B783" s="33"/>
      <c r="G783" s="33"/>
    </row>
    <row r="784" spans="1:7" ht="15.75">
      <c r="A784" s="33"/>
      <c r="B784" s="33"/>
      <c r="G784" s="33"/>
    </row>
    <row r="785" spans="1:7" ht="15.75">
      <c r="A785" s="33"/>
      <c r="B785" s="33"/>
      <c r="G785" s="33"/>
    </row>
    <row r="786" spans="1:7" ht="15.75">
      <c r="A786" s="33"/>
      <c r="B786" s="33"/>
      <c r="G786" s="33"/>
    </row>
    <row r="787" spans="1:7" ht="15.75">
      <c r="A787" s="33"/>
      <c r="B787" s="33"/>
      <c r="G787" s="33"/>
    </row>
    <row r="788" spans="1:7" ht="15.75">
      <c r="A788" s="33"/>
      <c r="B788" s="33"/>
      <c r="G788" s="33"/>
    </row>
    <row r="789" spans="1:7" ht="15.75">
      <c r="A789" s="33"/>
      <c r="B789" s="33"/>
      <c r="G789" s="33"/>
    </row>
    <row r="790" spans="1:7" ht="15.75">
      <c r="A790" s="33"/>
      <c r="B790" s="33"/>
      <c r="G790" s="33"/>
    </row>
    <row r="791" spans="1:7" ht="15.75">
      <c r="A791" s="33"/>
      <c r="B791" s="33"/>
      <c r="G791" s="33"/>
    </row>
    <row r="792" spans="1:7" ht="15.75">
      <c r="A792" s="33"/>
      <c r="B792" s="33"/>
      <c r="G792" s="33"/>
    </row>
    <row r="793" spans="1:7" ht="15.75">
      <c r="A793" s="33"/>
      <c r="B793" s="33"/>
      <c r="G793" s="33"/>
    </row>
    <row r="794" spans="1:7" ht="15.75">
      <c r="A794" s="33"/>
      <c r="B794" s="33"/>
      <c r="G794" s="33"/>
    </row>
    <row r="795" spans="1:7" ht="15.75">
      <c r="A795" s="33"/>
      <c r="B795" s="33"/>
      <c r="G795" s="33"/>
    </row>
    <row r="796" spans="1:7" ht="15.75">
      <c r="A796" s="33"/>
      <c r="B796" s="33"/>
      <c r="G796" s="33"/>
    </row>
    <row r="797" spans="1:7" ht="15.75">
      <c r="A797" s="33"/>
      <c r="B797" s="33"/>
      <c r="G797" s="33"/>
    </row>
    <row r="798" spans="1:7" ht="15.75">
      <c r="A798" s="33"/>
      <c r="B798" s="33"/>
      <c r="G798" s="33"/>
    </row>
    <row r="799" spans="1:7" ht="15.75">
      <c r="A799" s="33"/>
      <c r="B799" s="33"/>
      <c r="G799" s="33"/>
    </row>
    <row r="800" spans="1:7" ht="15.75">
      <c r="A800" s="33"/>
      <c r="B800" s="33"/>
      <c r="G800" s="33"/>
    </row>
    <row r="801" spans="1:7" ht="15.75">
      <c r="A801" s="33"/>
      <c r="B801" s="33"/>
      <c r="G801" s="33"/>
    </row>
    <row r="802" spans="1:7" ht="15.75">
      <c r="A802" s="33"/>
      <c r="B802" s="33"/>
      <c r="G802" s="33"/>
    </row>
    <row r="803" spans="1:7" ht="15.75">
      <c r="A803" s="33"/>
      <c r="B803" s="33"/>
      <c r="G803" s="33"/>
    </row>
    <row r="804" spans="1:7" ht="15.75">
      <c r="A804" s="33"/>
      <c r="B804" s="33"/>
      <c r="G804" s="33"/>
    </row>
    <row r="805" spans="1:7" ht="15.75">
      <c r="A805" s="33"/>
      <c r="B805" s="33"/>
      <c r="G805" s="33"/>
    </row>
    <row r="806" spans="1:7" ht="15.75">
      <c r="A806" s="33"/>
      <c r="B806" s="33"/>
      <c r="G806" s="33"/>
    </row>
    <row r="807" spans="1:7" ht="15.75">
      <c r="A807" s="33"/>
      <c r="B807" s="33"/>
      <c r="G807" s="33"/>
    </row>
    <row r="808" spans="1:7" ht="15.75">
      <c r="A808" s="33"/>
      <c r="B808" s="33"/>
      <c r="G808" s="33"/>
    </row>
    <row r="809" spans="1:7" ht="15.75">
      <c r="A809" s="33"/>
      <c r="B809" s="33"/>
      <c r="G809" s="33"/>
    </row>
    <row r="810" spans="1:7" ht="15.75">
      <c r="A810" s="33"/>
      <c r="B810" s="33"/>
      <c r="G810" s="33"/>
    </row>
    <row r="811" spans="1:7" ht="15.75">
      <c r="A811" s="33"/>
      <c r="B811" s="33"/>
      <c r="G811" s="33"/>
    </row>
    <row r="812" spans="1:7" ht="15.75">
      <c r="A812" s="33"/>
      <c r="B812" s="33"/>
      <c r="G812" s="33"/>
    </row>
    <row r="813" spans="1:7" ht="15.75">
      <c r="A813" s="33"/>
      <c r="B813" s="33"/>
      <c r="G813" s="33"/>
    </row>
    <row r="814" spans="1:7" ht="15.75">
      <c r="A814" s="33"/>
      <c r="B814" s="33"/>
      <c r="G814" s="33"/>
    </row>
    <row r="815" spans="1:7" ht="15.75">
      <c r="A815" s="33"/>
      <c r="B815" s="33"/>
      <c r="G815" s="33"/>
    </row>
    <row r="816" spans="1:7" ht="15.75">
      <c r="A816" s="33"/>
      <c r="B816" s="33"/>
      <c r="G816" s="33"/>
    </row>
    <row r="817" spans="1:7" ht="15.75">
      <c r="A817" s="33"/>
      <c r="B817" s="33"/>
      <c r="G817" s="33"/>
    </row>
    <row r="818" spans="1:7" ht="15.75">
      <c r="A818" s="33"/>
      <c r="B818" s="33"/>
      <c r="G818" s="33"/>
    </row>
    <row r="819" spans="1:7" ht="15.75">
      <c r="A819" s="33"/>
      <c r="B819" s="33"/>
      <c r="G819" s="33"/>
    </row>
    <row r="820" spans="1:7" ht="15.75">
      <c r="A820" s="33"/>
      <c r="B820" s="33"/>
      <c r="G820" s="33"/>
    </row>
    <row r="821" spans="1:7" ht="15.75">
      <c r="A821" s="33"/>
      <c r="B821" s="33"/>
      <c r="G821" s="33"/>
    </row>
    <row r="822" spans="1:7" ht="15.75">
      <c r="A822" s="33"/>
      <c r="B822" s="33"/>
      <c r="G822" s="33"/>
    </row>
    <row r="823" spans="1:7" ht="15.75">
      <c r="A823" s="33"/>
      <c r="B823" s="33"/>
      <c r="G823" s="33"/>
    </row>
    <row r="824" spans="1:7" ht="15.75">
      <c r="A824" s="33"/>
      <c r="B824" s="33"/>
      <c r="G824" s="33"/>
    </row>
    <row r="825" spans="1:7" ht="15.75">
      <c r="A825" s="33"/>
      <c r="B825" s="33"/>
      <c r="G825" s="33"/>
    </row>
    <row r="826" spans="1:7" ht="15.75">
      <c r="A826" s="33"/>
      <c r="B826" s="33"/>
      <c r="G826" s="33"/>
    </row>
    <row r="827" spans="1:7" ht="15.75">
      <c r="A827" s="33"/>
      <c r="B827" s="33"/>
      <c r="G827" s="33"/>
    </row>
    <row r="828" spans="1:7" ht="15.75">
      <c r="A828" s="33"/>
      <c r="B828" s="33"/>
      <c r="G828" s="33"/>
    </row>
    <row r="829" spans="1:7" ht="15.75">
      <c r="A829" s="33"/>
      <c r="B829" s="33"/>
      <c r="G829" s="33"/>
    </row>
    <row r="830" spans="1:7" ht="15.75">
      <c r="A830" s="33"/>
      <c r="B830" s="33"/>
      <c r="G830" s="33"/>
    </row>
    <row r="831" spans="1:7" ht="15.75">
      <c r="A831" s="33"/>
      <c r="B831" s="33"/>
      <c r="G831" s="33"/>
    </row>
    <row r="832" spans="1:7" ht="15.75">
      <c r="A832" s="33"/>
      <c r="B832" s="33"/>
      <c r="G832" s="33"/>
    </row>
    <row r="833" spans="1:7" ht="15.75">
      <c r="A833" s="33"/>
      <c r="B833" s="33"/>
      <c r="G833" s="33"/>
    </row>
    <row r="834" spans="1:7" ht="15.75">
      <c r="A834" s="33"/>
      <c r="B834" s="33"/>
      <c r="G834" s="33"/>
    </row>
    <row r="835" spans="1:7" ht="15.75">
      <c r="A835" s="33"/>
      <c r="B835" s="33"/>
      <c r="G835" s="33"/>
    </row>
    <row r="836" spans="1:7" ht="15.75">
      <c r="A836" s="33"/>
      <c r="B836" s="33"/>
      <c r="G836" s="33"/>
    </row>
    <row r="837" spans="1:7" ht="15.75">
      <c r="A837" s="33"/>
      <c r="B837" s="33"/>
      <c r="G837" s="33"/>
    </row>
    <row r="838" spans="1:7" ht="15.75">
      <c r="A838" s="33"/>
      <c r="B838" s="33"/>
      <c r="G838" s="33"/>
    </row>
    <row r="839" spans="1:7" ht="15.75">
      <c r="A839" s="33"/>
      <c r="B839" s="33"/>
      <c r="G839" s="33"/>
    </row>
    <row r="840" spans="1:7" ht="15.75">
      <c r="A840" s="33"/>
      <c r="B840" s="33"/>
      <c r="G840" s="33"/>
    </row>
    <row r="841" spans="1:7" ht="15.75">
      <c r="A841" s="33"/>
      <c r="B841" s="33"/>
      <c r="G841" s="33"/>
    </row>
    <row r="842" spans="1:7" ht="15.75">
      <c r="A842" s="33"/>
      <c r="B842" s="33"/>
      <c r="G842" s="33"/>
    </row>
    <row r="843" spans="1:7" ht="15.75">
      <c r="A843" s="33"/>
      <c r="B843" s="33"/>
      <c r="G843" s="33"/>
    </row>
    <row r="844" spans="1:7" ht="15.75">
      <c r="A844" s="33"/>
      <c r="B844" s="33"/>
      <c r="G844" s="33"/>
    </row>
    <row r="845" spans="1:7" ht="15.75">
      <c r="A845" s="33"/>
      <c r="B845" s="33"/>
      <c r="G845" s="33"/>
    </row>
    <row r="846" spans="1:7" ht="15.75">
      <c r="A846" s="33"/>
      <c r="B846" s="33"/>
      <c r="G846" s="33"/>
    </row>
    <row r="847" spans="1:7" ht="15.75">
      <c r="A847" s="33"/>
      <c r="B847" s="33"/>
      <c r="G847" s="33"/>
    </row>
    <row r="848" spans="1:7" ht="15.75">
      <c r="A848" s="33"/>
      <c r="B848" s="33"/>
      <c r="G848" s="33"/>
    </row>
    <row r="849" spans="1:7" ht="15.75">
      <c r="A849" s="33"/>
      <c r="B849" s="33"/>
      <c r="G849" s="33"/>
    </row>
    <row r="850" spans="1:7" ht="15.75">
      <c r="A850" s="33"/>
      <c r="B850" s="33"/>
      <c r="G850" s="33"/>
    </row>
    <row r="851" spans="1:7" ht="15.75">
      <c r="A851" s="33"/>
      <c r="B851" s="33"/>
      <c r="G851" s="33"/>
    </row>
    <row r="852" spans="1:7" ht="15.75">
      <c r="A852" s="33"/>
      <c r="B852" s="33"/>
      <c r="G852" s="33"/>
    </row>
    <row r="853" spans="1:7" ht="15.75">
      <c r="A853" s="33"/>
      <c r="B853" s="33"/>
      <c r="G853" s="33"/>
    </row>
    <row r="854" spans="1:7" ht="15.75">
      <c r="A854" s="33"/>
      <c r="B854" s="33"/>
      <c r="G854" s="33"/>
    </row>
    <row r="855" spans="1:7" ht="15.75">
      <c r="A855" s="33"/>
      <c r="B855" s="33"/>
      <c r="G855" s="33"/>
    </row>
    <row r="856" spans="1:7" ht="15.75">
      <c r="A856" s="33"/>
      <c r="B856" s="33"/>
      <c r="G856" s="33"/>
    </row>
    <row r="857" spans="1:7" ht="15.75">
      <c r="A857" s="33"/>
      <c r="B857" s="33"/>
      <c r="G857" s="33"/>
    </row>
    <row r="858" spans="1:7" ht="15.75">
      <c r="A858" s="33"/>
      <c r="B858" s="33"/>
      <c r="G858" s="33"/>
    </row>
    <row r="859" spans="1:7" ht="15.75">
      <c r="A859" s="33"/>
      <c r="B859" s="33"/>
      <c r="G859" s="33"/>
    </row>
    <row r="860" spans="1:7" ht="15.75">
      <c r="A860" s="33"/>
      <c r="B860" s="33"/>
      <c r="G860" s="33"/>
    </row>
    <row r="861" spans="1:7" ht="15.75">
      <c r="A861" s="33"/>
      <c r="B861" s="33"/>
      <c r="G861" s="33"/>
    </row>
    <row r="862" spans="1:7" ht="15.75">
      <c r="A862" s="33"/>
      <c r="B862" s="33"/>
      <c r="G862" s="33"/>
    </row>
    <row r="863" spans="1:7" ht="15.75">
      <c r="A863" s="33"/>
      <c r="B863" s="33"/>
      <c r="G863" s="33"/>
    </row>
    <row r="864" spans="1:7" ht="15.75">
      <c r="A864" s="33"/>
      <c r="B864" s="33"/>
      <c r="G864" s="33"/>
    </row>
    <row r="865" spans="1:7" ht="15.75">
      <c r="A865" s="33"/>
      <c r="B865" s="33"/>
      <c r="G865" s="33"/>
    </row>
    <row r="866" spans="1:7" ht="15.75">
      <c r="A866" s="33"/>
      <c r="B866" s="33"/>
      <c r="G866" s="33"/>
    </row>
    <row r="867" spans="1:7" ht="15.75">
      <c r="A867" s="33"/>
      <c r="B867" s="33"/>
      <c r="G867" s="33"/>
    </row>
    <row r="868" spans="1:7" ht="15.75">
      <c r="A868" s="33"/>
      <c r="B868" s="33"/>
      <c r="G868" s="33"/>
    </row>
    <row r="869" spans="1:7" ht="15.75">
      <c r="A869" s="33"/>
      <c r="B869" s="33"/>
      <c r="G869" s="33"/>
    </row>
    <row r="870" spans="1:7" ht="15.75">
      <c r="A870" s="33"/>
      <c r="B870" s="33"/>
      <c r="G870" s="33"/>
    </row>
    <row r="871" spans="1:7" ht="15.75">
      <c r="A871" s="33"/>
      <c r="B871" s="33"/>
      <c r="G871" s="33"/>
    </row>
    <row r="872" spans="1:7" ht="15.75">
      <c r="A872" s="33"/>
      <c r="B872" s="33"/>
      <c r="G872" s="33"/>
    </row>
    <row r="873" spans="1:7" ht="15.75">
      <c r="A873" s="33"/>
      <c r="B873" s="33"/>
      <c r="G873" s="33"/>
    </row>
    <row r="874" spans="1:7" ht="15.75">
      <c r="A874" s="33"/>
      <c r="B874" s="33"/>
      <c r="G874" s="33"/>
    </row>
    <row r="875" spans="1:7" ht="15.75">
      <c r="A875" s="33"/>
      <c r="B875" s="33"/>
      <c r="G875" s="33"/>
    </row>
    <row r="876" spans="1:7" ht="15.75">
      <c r="A876" s="33"/>
      <c r="B876" s="33"/>
      <c r="G876" s="33"/>
    </row>
    <row r="877" spans="1:7" ht="15.75">
      <c r="A877" s="33"/>
      <c r="B877" s="33"/>
      <c r="G877" s="33"/>
    </row>
    <row r="878" spans="1:7" ht="15.75">
      <c r="A878" s="33"/>
      <c r="B878" s="33"/>
      <c r="G878" s="33"/>
    </row>
    <row r="879" spans="1:7" ht="15.75">
      <c r="A879" s="33"/>
      <c r="B879" s="33"/>
      <c r="G879" s="33"/>
    </row>
    <row r="880" spans="1:7" ht="15.75">
      <c r="A880" s="33"/>
      <c r="B880" s="33"/>
      <c r="G880" s="33"/>
    </row>
    <row r="881" spans="1:7" ht="15.75">
      <c r="A881" s="33"/>
      <c r="B881" s="33"/>
      <c r="G881" s="33"/>
    </row>
    <row r="882" spans="1:7" ht="15.75">
      <c r="A882" s="33"/>
      <c r="B882" s="33"/>
      <c r="G882" s="33"/>
    </row>
    <row r="883" spans="1:7" ht="15.75">
      <c r="A883" s="33"/>
      <c r="B883" s="33"/>
      <c r="G883" s="33"/>
    </row>
    <row r="884" spans="1:7" ht="15.75">
      <c r="A884" s="33"/>
      <c r="B884" s="33"/>
      <c r="G884" s="33"/>
    </row>
    <row r="885" spans="1:7" ht="15.75">
      <c r="A885" s="33"/>
      <c r="B885" s="33"/>
      <c r="G885" s="33"/>
    </row>
    <row r="886" spans="1:7" ht="15.75">
      <c r="A886" s="33"/>
      <c r="B886" s="33"/>
      <c r="G886" s="33"/>
    </row>
    <row r="887" spans="1:7" ht="15.75">
      <c r="A887" s="33"/>
      <c r="B887" s="33"/>
      <c r="G887" s="33"/>
    </row>
    <row r="888" spans="1:7" ht="15.75">
      <c r="A888" s="33"/>
      <c r="B888" s="33"/>
      <c r="G888" s="33"/>
    </row>
    <row r="889" spans="1:7" ht="15.75">
      <c r="A889" s="33"/>
      <c r="B889" s="33"/>
      <c r="G889" s="33"/>
    </row>
    <row r="890" spans="1:7" ht="15.75">
      <c r="A890" s="33"/>
      <c r="B890" s="33"/>
      <c r="G890" s="33"/>
    </row>
    <row r="891" spans="1:7" ht="15.75">
      <c r="A891" s="33"/>
      <c r="B891" s="33"/>
      <c r="G891" s="33"/>
    </row>
    <row r="892" spans="1:7" ht="15.75">
      <c r="A892" s="33"/>
      <c r="B892" s="33"/>
      <c r="G892" s="33"/>
    </row>
    <row r="893" spans="1:7" ht="15.75">
      <c r="A893" s="33"/>
      <c r="B893" s="33"/>
      <c r="G893" s="33"/>
    </row>
    <row r="894" spans="1:7" ht="15.75">
      <c r="A894" s="33"/>
      <c r="B894" s="33"/>
      <c r="G894" s="33"/>
    </row>
    <row r="895" spans="1:7" ht="15.75">
      <c r="A895" s="33"/>
      <c r="B895" s="33"/>
      <c r="G895" s="33"/>
    </row>
    <row r="896" spans="1:7" ht="15.75">
      <c r="A896" s="33"/>
      <c r="B896" s="33"/>
      <c r="G896" s="33"/>
    </row>
    <row r="897" spans="1:7" ht="15.75">
      <c r="A897" s="33"/>
      <c r="B897" s="33"/>
      <c r="G897" s="33"/>
    </row>
    <row r="898" spans="1:7" ht="15.75">
      <c r="A898" s="33"/>
      <c r="B898" s="33"/>
      <c r="G898" s="33"/>
    </row>
    <row r="899" spans="1:7" ht="15.75">
      <c r="A899" s="33"/>
      <c r="B899" s="33"/>
      <c r="G899" s="33"/>
    </row>
    <row r="900" spans="1:7" ht="15.75">
      <c r="A900" s="33"/>
      <c r="B900" s="33"/>
      <c r="G900" s="33"/>
    </row>
    <row r="901" spans="1:7" ht="15.75">
      <c r="A901" s="33"/>
      <c r="B901" s="33"/>
      <c r="G901" s="33"/>
    </row>
    <row r="902" spans="1:7" ht="15.75">
      <c r="A902" s="33"/>
      <c r="B902" s="33"/>
      <c r="G902" s="33"/>
    </row>
    <row r="903" spans="1:7" ht="15.75">
      <c r="A903" s="33"/>
      <c r="B903" s="33"/>
      <c r="G903" s="33"/>
    </row>
    <row r="904" spans="1:7" ht="15.75">
      <c r="A904" s="33"/>
      <c r="B904" s="33"/>
      <c r="G904" s="33"/>
    </row>
    <row r="905" spans="1:7" ht="15.75">
      <c r="A905" s="33"/>
      <c r="B905" s="33"/>
      <c r="G905" s="33"/>
    </row>
    <row r="906" spans="1:7" ht="15.75">
      <c r="A906" s="33"/>
      <c r="B906" s="33"/>
      <c r="G906" s="33"/>
    </row>
    <row r="907" spans="1:7" ht="15.75">
      <c r="A907" s="33"/>
      <c r="B907" s="33"/>
      <c r="G907" s="33"/>
    </row>
    <row r="908" spans="1:7" ht="15.75">
      <c r="A908" s="33"/>
      <c r="B908" s="33"/>
      <c r="G908" s="33"/>
    </row>
    <row r="909" spans="1:7" ht="15.75">
      <c r="A909" s="33"/>
      <c r="B909" s="33"/>
      <c r="G909" s="33"/>
    </row>
    <row r="910" spans="1:7" ht="15.75">
      <c r="A910" s="33"/>
      <c r="B910" s="33"/>
      <c r="G910" s="33"/>
    </row>
    <row r="911" spans="1:7" ht="15.75">
      <c r="A911" s="33"/>
      <c r="B911" s="33"/>
      <c r="G911" s="33"/>
    </row>
    <row r="912" spans="1:7" ht="15.75">
      <c r="A912" s="33"/>
      <c r="B912" s="33"/>
      <c r="G912" s="33"/>
    </row>
    <row r="913" spans="1:7" ht="15.75">
      <c r="A913" s="33"/>
      <c r="B913" s="33"/>
      <c r="G913" s="33"/>
    </row>
    <row r="914" spans="1:7" ht="15.75">
      <c r="A914" s="33"/>
      <c r="B914" s="33"/>
      <c r="G914" s="33"/>
    </row>
    <row r="915" spans="1:7" ht="15.75">
      <c r="A915" s="33"/>
      <c r="B915" s="33"/>
      <c r="G915" s="33"/>
    </row>
    <row r="916" spans="1:7" ht="15.75">
      <c r="A916" s="33"/>
      <c r="B916" s="33"/>
      <c r="G916" s="33"/>
    </row>
    <row r="917" spans="1:7" ht="15.75">
      <c r="A917" s="33"/>
      <c r="B917" s="33"/>
      <c r="G917" s="33"/>
    </row>
    <row r="918" spans="1:7" ht="15.75">
      <c r="A918" s="33"/>
      <c r="B918" s="33"/>
      <c r="G918" s="33"/>
    </row>
    <row r="919" spans="1:7" ht="15.75">
      <c r="A919" s="33"/>
      <c r="B919" s="33"/>
      <c r="G919" s="33"/>
    </row>
    <row r="920" spans="1:7" ht="15.75">
      <c r="A920" s="33"/>
      <c r="B920" s="33"/>
      <c r="G920" s="33"/>
    </row>
    <row r="921" spans="1:7" ht="15.75">
      <c r="A921" s="33"/>
      <c r="B921" s="33"/>
      <c r="G921" s="33"/>
    </row>
    <row r="922" spans="1:7" ht="15.75">
      <c r="A922" s="33"/>
      <c r="B922" s="33"/>
      <c r="G922" s="33"/>
    </row>
    <row r="923" spans="1:7" ht="15.75">
      <c r="A923" s="33"/>
      <c r="B923" s="33"/>
      <c r="G923" s="33"/>
    </row>
    <row r="924" spans="1:7" ht="15.75">
      <c r="A924" s="33"/>
      <c r="B924" s="33"/>
      <c r="G924" s="33"/>
    </row>
    <row r="925" spans="1:7" ht="15.75">
      <c r="A925" s="33"/>
      <c r="B925" s="33"/>
      <c r="G925" s="33"/>
    </row>
    <row r="926" spans="1:7" ht="15.75">
      <c r="A926" s="33"/>
      <c r="B926" s="33"/>
      <c r="G926" s="33"/>
    </row>
    <row r="927" spans="1:7" ht="15.75">
      <c r="A927" s="33"/>
      <c r="B927" s="33"/>
      <c r="G927" s="33"/>
    </row>
    <row r="928" spans="1:7" ht="15.75">
      <c r="A928" s="33"/>
      <c r="B928" s="33"/>
      <c r="G928" s="33"/>
    </row>
    <row r="929" spans="1:7" ht="15.75">
      <c r="A929" s="33"/>
      <c r="B929" s="33"/>
      <c r="G929" s="33"/>
    </row>
    <row r="930" spans="1:7" ht="15.75">
      <c r="A930" s="33"/>
      <c r="B930" s="33"/>
      <c r="G930" s="33"/>
    </row>
    <row r="931" spans="1:7" ht="15.75">
      <c r="A931" s="33"/>
      <c r="B931" s="33"/>
      <c r="G931" s="33"/>
    </row>
    <row r="932" spans="1:7" ht="15.75">
      <c r="A932" s="33"/>
      <c r="B932" s="33"/>
      <c r="G932" s="33"/>
    </row>
    <row r="933" spans="1:7" ht="15.75">
      <c r="A933" s="33"/>
      <c r="B933" s="33"/>
      <c r="G933" s="33"/>
    </row>
    <row r="934" spans="1:7" ht="15.75">
      <c r="A934" s="33"/>
      <c r="B934" s="33"/>
      <c r="G934" s="33"/>
    </row>
    <row r="935" spans="1:7" ht="15.75">
      <c r="A935" s="33"/>
      <c r="B935" s="33"/>
      <c r="G935" s="33"/>
    </row>
    <row r="936" spans="1:7" ht="15.75">
      <c r="A936" s="33"/>
      <c r="B936" s="33"/>
      <c r="G936" s="33"/>
    </row>
    <row r="937" spans="1:7" ht="15.75">
      <c r="A937" s="33"/>
      <c r="B937" s="33"/>
      <c r="G937" s="33"/>
    </row>
    <row r="938" spans="1:7" ht="15.75">
      <c r="A938" s="33"/>
      <c r="B938" s="33"/>
      <c r="G938" s="33"/>
    </row>
    <row r="939" spans="1:7" ht="15.75">
      <c r="A939" s="33"/>
      <c r="B939" s="33"/>
      <c r="G939" s="33"/>
    </row>
    <row r="940" spans="1:7" ht="15.75">
      <c r="A940" s="33"/>
      <c r="B940" s="33"/>
      <c r="G940" s="33"/>
    </row>
    <row r="941" spans="1:7" ht="15.75">
      <c r="A941" s="33"/>
      <c r="B941" s="33"/>
      <c r="G941" s="33"/>
    </row>
    <row r="942" spans="1:7" ht="15.75">
      <c r="A942" s="33"/>
      <c r="B942" s="33"/>
      <c r="G942" s="33"/>
    </row>
    <row r="943" spans="1:7" ht="15.75">
      <c r="A943" s="33"/>
      <c r="B943" s="33"/>
      <c r="G943" s="33"/>
    </row>
    <row r="944" spans="1:7" ht="15.75">
      <c r="A944" s="33"/>
      <c r="B944" s="33"/>
      <c r="G944" s="33"/>
    </row>
    <row r="945" spans="1:7" ht="15.75">
      <c r="A945" s="33"/>
      <c r="B945" s="33"/>
      <c r="G945" s="33"/>
    </row>
    <row r="946" spans="1:7" ht="15.75">
      <c r="A946" s="33"/>
      <c r="B946" s="33"/>
      <c r="G946" s="33"/>
    </row>
    <row r="947" spans="1:7" ht="15.75">
      <c r="A947" s="33"/>
      <c r="B947" s="33"/>
      <c r="G947" s="33"/>
    </row>
    <row r="948" spans="1:7" ht="15.75">
      <c r="A948" s="33"/>
      <c r="B948" s="33"/>
      <c r="G948" s="33"/>
    </row>
    <row r="949" spans="1:7" ht="15.75">
      <c r="A949" s="33"/>
      <c r="B949" s="33"/>
      <c r="G949" s="33"/>
    </row>
    <row r="950" spans="1:7" ht="15.75">
      <c r="A950" s="33"/>
      <c r="B950" s="33"/>
      <c r="G950" s="33"/>
    </row>
    <row r="951" spans="1:7" ht="15.75">
      <c r="A951" s="33"/>
      <c r="B951" s="33"/>
      <c r="G951" s="33"/>
    </row>
    <row r="952" spans="1:7" ht="15.75">
      <c r="A952" s="33"/>
      <c r="B952" s="33"/>
      <c r="G952" s="33"/>
    </row>
    <row r="953" spans="1:7" ht="15.75">
      <c r="A953" s="33"/>
      <c r="B953" s="33"/>
      <c r="G953" s="33"/>
    </row>
    <row r="954" spans="1:7" ht="15.75">
      <c r="A954" s="33"/>
      <c r="B954" s="33"/>
      <c r="G954" s="33"/>
    </row>
    <row r="955" spans="1:7" ht="15.75">
      <c r="A955" s="33"/>
      <c r="B955" s="33"/>
      <c r="G955" s="33"/>
    </row>
    <row r="956" spans="1:7" ht="15.75">
      <c r="A956" s="33"/>
      <c r="B956" s="33"/>
      <c r="G956" s="33"/>
    </row>
    <row r="957" spans="1:7" ht="15.75">
      <c r="A957" s="33"/>
      <c r="B957" s="33"/>
      <c r="G957" s="33"/>
    </row>
    <row r="958" spans="1:7" ht="15.75">
      <c r="A958" s="33"/>
      <c r="B958" s="33"/>
      <c r="G958" s="33"/>
    </row>
    <row r="959" spans="1:7" ht="15.75">
      <c r="A959" s="33"/>
      <c r="B959" s="33"/>
      <c r="G959" s="33"/>
    </row>
    <row r="960" spans="1:7" ht="15.75">
      <c r="A960" s="33"/>
      <c r="B960" s="33"/>
      <c r="G960" s="33"/>
    </row>
    <row r="961" spans="1:7" ht="15.75">
      <c r="A961" s="33"/>
      <c r="B961" s="33"/>
      <c r="G961" s="33"/>
    </row>
    <row r="962" spans="1:7" ht="15.75">
      <c r="A962" s="33"/>
      <c r="B962" s="33"/>
      <c r="G962" s="33"/>
    </row>
    <row r="963" spans="1:7" ht="15.75">
      <c r="A963" s="33"/>
      <c r="B963" s="33"/>
      <c r="G963" s="33"/>
    </row>
    <row r="964" spans="1:7" ht="15.75">
      <c r="A964" s="33"/>
      <c r="B964" s="33"/>
      <c r="G964" s="33"/>
    </row>
    <row r="965" spans="1:7" ht="15.75">
      <c r="A965" s="33"/>
      <c r="B965" s="33"/>
      <c r="G965" s="33"/>
    </row>
    <row r="966" spans="1:7" ht="15.75">
      <c r="A966" s="33"/>
      <c r="B966" s="33"/>
      <c r="G966" s="33"/>
    </row>
    <row r="967" spans="1:7" ht="15.75">
      <c r="A967" s="33"/>
      <c r="B967" s="33"/>
      <c r="G967" s="33"/>
    </row>
    <row r="968" spans="1:7" ht="15.75">
      <c r="A968" s="33"/>
      <c r="B968" s="33"/>
      <c r="G968" s="33"/>
    </row>
    <row r="969" spans="1:7" ht="15.75">
      <c r="A969" s="33"/>
      <c r="B969" s="33"/>
      <c r="G969" s="33"/>
    </row>
    <row r="970" spans="1:7" ht="15.75">
      <c r="A970" s="33"/>
      <c r="B970" s="33"/>
      <c r="G970" s="33"/>
    </row>
    <row r="971" spans="1:7" ht="15.75">
      <c r="A971" s="33"/>
      <c r="B971" s="33"/>
      <c r="G971" s="33"/>
    </row>
    <row r="972" spans="1:7" ht="15.75">
      <c r="A972" s="33"/>
      <c r="B972" s="33"/>
      <c r="G972" s="33"/>
    </row>
    <row r="973" spans="1:7" ht="15.75">
      <c r="A973" s="33"/>
      <c r="B973" s="33"/>
      <c r="G973" s="33"/>
    </row>
    <row r="974" spans="1:7" ht="15.75">
      <c r="A974" s="33"/>
      <c r="B974" s="33"/>
      <c r="G974" s="33"/>
    </row>
    <row r="975" spans="1:7" ht="15.75">
      <c r="A975" s="33"/>
      <c r="B975" s="33"/>
      <c r="G975" s="33"/>
    </row>
    <row r="976" spans="1:7" ht="15.75">
      <c r="A976" s="33"/>
      <c r="B976" s="33"/>
      <c r="G976" s="33"/>
    </row>
    <row r="977" spans="1:7" ht="15.75">
      <c r="A977" s="33"/>
      <c r="B977" s="33"/>
      <c r="G977" s="33"/>
    </row>
    <row r="978" spans="1:7" ht="15.75">
      <c r="A978" s="33"/>
      <c r="B978" s="33"/>
      <c r="G978" s="33"/>
    </row>
    <row r="979" spans="1:7" ht="15.75">
      <c r="A979" s="33"/>
      <c r="B979" s="33"/>
      <c r="G979" s="33"/>
    </row>
    <row r="980" spans="1:7" ht="15.75">
      <c r="A980" s="33"/>
      <c r="B980" s="33"/>
      <c r="G980" s="33"/>
    </row>
    <row r="981" spans="1:7" ht="15.75">
      <c r="A981" s="33"/>
      <c r="B981" s="33"/>
      <c r="G981" s="33"/>
    </row>
    <row r="982" spans="1:7" ht="15.75">
      <c r="A982" s="33"/>
      <c r="B982" s="33"/>
      <c r="G982" s="33"/>
    </row>
    <row r="983" spans="1:7" ht="15.75">
      <c r="A983" s="33"/>
      <c r="B983" s="33"/>
      <c r="G983" s="33"/>
    </row>
    <row r="984" spans="1:7" ht="15.75">
      <c r="A984" s="33"/>
      <c r="B984" s="33"/>
      <c r="G984" s="33"/>
    </row>
    <row r="985" spans="1:7" ht="15.75">
      <c r="A985" s="33"/>
      <c r="B985" s="33"/>
      <c r="G985" s="33"/>
    </row>
    <row r="986" spans="1:7" ht="15.75">
      <c r="A986" s="33"/>
      <c r="B986" s="33"/>
      <c r="G986" s="33"/>
    </row>
    <row r="987" spans="1:7" ht="15.75">
      <c r="A987" s="33"/>
      <c r="B987" s="33"/>
      <c r="G987" s="33"/>
    </row>
    <row r="988" spans="1:7" ht="15.75">
      <c r="A988" s="33"/>
      <c r="B988" s="33"/>
      <c r="G988" s="33"/>
    </row>
    <row r="989" spans="1:7" ht="15.75">
      <c r="A989" s="33"/>
      <c r="B989" s="33"/>
      <c r="G989" s="33"/>
    </row>
    <row r="990" spans="1:7" ht="15.75">
      <c r="A990" s="33"/>
      <c r="B990" s="33"/>
      <c r="G990" s="33"/>
    </row>
    <row r="991" spans="1:7" ht="15.75">
      <c r="A991" s="33"/>
      <c r="B991" s="33"/>
      <c r="G991" s="33"/>
    </row>
    <row r="992" spans="1:7" ht="15.75">
      <c r="A992" s="33"/>
      <c r="B992" s="33"/>
      <c r="G992" s="33"/>
    </row>
    <row r="993" spans="1:7" ht="15.75">
      <c r="A993" s="33"/>
      <c r="B993" s="33"/>
      <c r="G993" s="33"/>
    </row>
    <row r="994" spans="1:7" ht="15.75">
      <c r="A994" s="33"/>
      <c r="B994" s="33"/>
      <c r="G994" s="33"/>
    </row>
    <row r="995" spans="1:7" ht="15.75">
      <c r="A995" s="33"/>
      <c r="B995" s="33"/>
      <c r="G995" s="33"/>
    </row>
    <row r="996" spans="1:7" ht="15.75">
      <c r="A996" s="33"/>
      <c r="B996" s="33"/>
      <c r="G996" s="33"/>
    </row>
    <row r="997" spans="1:7" ht="15.75">
      <c r="A997" s="33"/>
      <c r="B997" s="33"/>
      <c r="G997" s="33"/>
    </row>
    <row r="998" spans="1:7" ht="15.75">
      <c r="A998" s="33"/>
      <c r="B998" s="33"/>
      <c r="G998" s="33"/>
    </row>
    <row r="999" spans="1:7" ht="15.75">
      <c r="A999" s="33"/>
      <c r="B999" s="33"/>
      <c r="G999" s="33"/>
    </row>
    <row r="1000" spans="1:7" ht="15.75">
      <c r="A1000" s="33"/>
      <c r="B1000" s="33"/>
      <c r="G1000" s="33"/>
    </row>
    <row r="1001" spans="1:7" ht="15.75">
      <c r="A1001" s="33"/>
      <c r="B1001" s="33"/>
      <c r="G1001" s="33"/>
    </row>
    <row r="1002" spans="1:7" ht="15.75">
      <c r="A1002" s="33"/>
      <c r="B1002" s="33"/>
      <c r="G1002" s="33"/>
    </row>
    <row r="1003" spans="1:7" ht="15.75">
      <c r="A1003" s="33"/>
      <c r="B1003" s="33"/>
      <c r="G1003" s="33"/>
    </row>
    <row r="1004" spans="1:7" ht="15.75">
      <c r="A1004" s="33"/>
      <c r="B1004" s="33"/>
      <c r="G1004" s="33"/>
    </row>
    <row r="1005" spans="1:7" ht="15.75">
      <c r="A1005" s="33"/>
      <c r="B1005" s="33"/>
      <c r="G1005" s="33"/>
    </row>
    <row r="1006" spans="1:7" ht="15.75">
      <c r="A1006" s="33"/>
      <c r="B1006" s="33"/>
      <c r="G1006" s="33"/>
    </row>
    <row r="1007" spans="1:7" ht="15.75">
      <c r="A1007" s="33"/>
      <c r="B1007" s="33"/>
      <c r="G1007" s="33"/>
    </row>
    <row r="1008" spans="1:7" ht="15.75">
      <c r="A1008" s="33"/>
      <c r="B1008" s="33"/>
      <c r="G1008" s="33"/>
    </row>
    <row r="1009" spans="1:7" ht="15.75">
      <c r="A1009" s="33"/>
      <c r="B1009" s="33"/>
      <c r="G1009" s="33"/>
    </row>
    <row r="1010" spans="1:7" ht="15.75">
      <c r="A1010" s="33"/>
      <c r="B1010" s="33"/>
      <c r="G1010" s="33"/>
    </row>
    <row r="1011" spans="1:7" ht="15.75">
      <c r="A1011" s="33"/>
      <c r="B1011" s="33"/>
      <c r="G1011" s="33"/>
    </row>
    <row r="1012" spans="1:7" ht="15.75">
      <c r="A1012" s="33"/>
      <c r="B1012" s="33"/>
      <c r="G1012" s="33"/>
    </row>
    <row r="1013" spans="1:7" ht="15.75">
      <c r="A1013" s="33"/>
      <c r="B1013" s="33"/>
      <c r="G1013" s="33"/>
    </row>
    <row r="1014" spans="1:7" ht="15.75">
      <c r="A1014" s="33"/>
      <c r="B1014" s="33"/>
      <c r="G1014" s="33"/>
    </row>
    <row r="1015" spans="1:7" ht="15.75">
      <c r="A1015" s="33"/>
      <c r="B1015" s="33"/>
      <c r="G1015" s="33"/>
    </row>
    <row r="1016" spans="1:7" ht="15.75">
      <c r="A1016" s="33"/>
      <c r="B1016" s="33"/>
      <c r="G1016" s="33"/>
    </row>
    <row r="1017" spans="1:7" ht="15.75">
      <c r="A1017" s="33"/>
      <c r="B1017" s="33"/>
      <c r="G1017" s="33"/>
    </row>
    <row r="1018" spans="1:7" ht="15.75">
      <c r="A1018" s="33"/>
      <c r="B1018" s="33"/>
      <c r="G1018" s="33"/>
    </row>
    <row r="1019" spans="1:7" ht="15.75">
      <c r="A1019" s="33"/>
      <c r="B1019" s="33"/>
      <c r="G1019" s="33"/>
    </row>
    <row r="1020" spans="1:7" ht="15.75">
      <c r="A1020" s="33"/>
      <c r="B1020" s="33"/>
      <c r="G1020" s="33"/>
    </row>
    <row r="1021" spans="1:7" ht="15.75">
      <c r="A1021" s="33"/>
      <c r="B1021" s="33"/>
      <c r="G1021" s="33"/>
    </row>
    <row r="1022" spans="1:7" ht="15.75">
      <c r="A1022" s="33"/>
      <c r="B1022" s="33"/>
      <c r="G1022" s="33"/>
    </row>
    <row r="1023" spans="1:7" ht="15.75">
      <c r="A1023" s="33"/>
      <c r="B1023" s="33"/>
      <c r="G1023" s="33"/>
    </row>
    <row r="1024" spans="1:7" ht="15.75">
      <c r="A1024" s="33"/>
      <c r="B1024" s="33"/>
      <c r="G1024" s="33"/>
    </row>
    <row r="1025" spans="1:7" ht="15.75">
      <c r="A1025" s="33"/>
      <c r="B1025" s="33"/>
      <c r="G1025" s="33"/>
    </row>
    <row r="1026" spans="1:7" ht="15.75">
      <c r="A1026" s="33"/>
      <c r="B1026" s="33"/>
      <c r="G1026" s="33"/>
    </row>
    <row r="1027" spans="1:7" ht="15.75">
      <c r="A1027" s="33"/>
      <c r="B1027" s="33"/>
      <c r="G1027" s="33"/>
    </row>
    <row r="1028" spans="1:7" ht="15.75">
      <c r="A1028" s="33"/>
      <c r="B1028" s="33"/>
      <c r="G1028" s="33"/>
    </row>
    <row r="1029" spans="1:7" ht="15.75">
      <c r="A1029" s="33"/>
      <c r="B1029" s="33"/>
      <c r="G1029" s="33"/>
    </row>
    <row r="1030" spans="1:7" ht="15.75">
      <c r="A1030" s="33"/>
      <c r="B1030" s="33"/>
      <c r="G1030" s="33"/>
    </row>
    <row r="1031" spans="1:7" ht="15.75">
      <c r="A1031" s="33"/>
      <c r="B1031" s="33"/>
      <c r="G1031" s="33"/>
    </row>
    <row r="1032" spans="1:7" ht="15.75">
      <c r="A1032" s="33"/>
      <c r="B1032" s="33"/>
      <c r="G1032" s="33"/>
    </row>
    <row r="1033" spans="1:7" ht="15.75">
      <c r="A1033" s="33"/>
      <c r="B1033" s="33"/>
      <c r="G1033" s="33"/>
    </row>
    <row r="1034" spans="1:7" ht="15.75">
      <c r="A1034" s="33"/>
      <c r="B1034" s="33"/>
      <c r="G1034" s="33"/>
    </row>
    <row r="1035" spans="1:7" ht="15.75">
      <c r="A1035" s="33"/>
      <c r="B1035" s="33"/>
      <c r="G1035" s="33"/>
    </row>
    <row r="1036" spans="1:7" ht="15.75">
      <c r="A1036" s="33"/>
      <c r="B1036" s="33"/>
      <c r="G1036" s="33"/>
    </row>
    <row r="1037" spans="1:7" ht="15.75">
      <c r="A1037" s="33"/>
      <c r="B1037" s="33"/>
      <c r="G1037" s="33"/>
    </row>
    <row r="1038" spans="1:7" ht="15.75">
      <c r="A1038" s="33"/>
      <c r="B1038" s="33"/>
      <c r="G1038" s="33"/>
    </row>
    <row r="1039" spans="1:7" ht="15.75">
      <c r="A1039" s="33"/>
      <c r="B1039" s="33"/>
      <c r="G1039" s="33"/>
    </row>
    <row r="1040" spans="1:7" ht="15.75">
      <c r="A1040" s="33"/>
      <c r="B1040" s="33"/>
      <c r="G1040" s="33"/>
    </row>
    <row r="1041" spans="1:7" ht="15.75">
      <c r="A1041" s="33"/>
      <c r="B1041" s="33"/>
      <c r="G1041" s="33"/>
    </row>
    <row r="1042" spans="1:7" ht="15.75">
      <c r="A1042" s="33"/>
      <c r="B1042" s="33"/>
      <c r="G1042" s="33"/>
    </row>
    <row r="1043" spans="1:7" ht="15.75">
      <c r="A1043" s="33"/>
      <c r="B1043" s="33"/>
      <c r="G1043" s="33"/>
    </row>
    <row r="1044" spans="1:7" ht="15.75">
      <c r="A1044" s="33"/>
      <c r="B1044" s="33"/>
      <c r="G1044" s="33"/>
    </row>
    <row r="1045" spans="1:7" ht="15.75">
      <c r="A1045" s="33"/>
      <c r="B1045" s="33"/>
      <c r="G1045" s="33"/>
    </row>
    <row r="1046" spans="1:7" ht="15.75">
      <c r="A1046" s="33"/>
      <c r="B1046" s="33"/>
      <c r="G1046" s="33"/>
    </row>
    <row r="1047" spans="1:7" ht="15.75">
      <c r="A1047" s="33"/>
      <c r="B1047" s="33"/>
      <c r="G1047" s="33"/>
    </row>
    <row r="1048" spans="1:7" ht="15.75">
      <c r="A1048" s="33"/>
      <c r="B1048" s="33"/>
      <c r="G1048" s="33"/>
    </row>
    <row r="1049" spans="1:7" ht="15.75">
      <c r="A1049" s="33"/>
      <c r="B1049" s="33"/>
      <c r="G1049" s="33"/>
    </row>
    <row r="1050" spans="1:7" ht="15.75">
      <c r="A1050" s="33"/>
      <c r="B1050" s="33"/>
      <c r="G1050" s="33"/>
    </row>
    <row r="1051" spans="1:7" ht="15.75">
      <c r="A1051" s="33"/>
      <c r="B1051" s="33"/>
      <c r="G1051" s="33"/>
    </row>
    <row r="1052" spans="1:7" ht="15.75">
      <c r="A1052" s="33"/>
      <c r="B1052" s="33"/>
      <c r="G1052" s="33"/>
    </row>
    <row r="1053" spans="1:7" ht="15.75">
      <c r="A1053" s="33"/>
      <c r="B1053" s="33"/>
      <c r="G1053" s="33"/>
    </row>
    <row r="1054" spans="1:7" ht="15.75">
      <c r="A1054" s="33"/>
      <c r="B1054" s="33"/>
      <c r="G1054" s="33"/>
    </row>
    <row r="1055" spans="1:7" ht="15.75">
      <c r="A1055" s="33"/>
      <c r="B1055" s="33"/>
      <c r="G1055" s="33"/>
    </row>
    <row r="1056" spans="1:7" ht="15.75">
      <c r="A1056" s="33"/>
      <c r="B1056" s="33"/>
      <c r="G1056" s="33"/>
    </row>
    <row r="1057" spans="1:7" ht="15.75">
      <c r="A1057" s="33"/>
      <c r="B1057" s="33"/>
      <c r="G1057" s="33"/>
    </row>
    <row r="1058" spans="1:7" ht="15.75">
      <c r="A1058" s="33"/>
      <c r="B1058" s="33"/>
      <c r="G1058" s="33"/>
    </row>
    <row r="1059" spans="1:7" ht="15.75">
      <c r="A1059" s="33"/>
      <c r="B1059" s="33"/>
      <c r="G1059" s="33"/>
    </row>
    <row r="1060" spans="1:7" ht="15.75">
      <c r="A1060" s="33"/>
      <c r="B1060" s="33"/>
      <c r="G1060" s="33"/>
    </row>
    <row r="1061" spans="1:7" ht="15.75">
      <c r="A1061" s="33"/>
      <c r="B1061" s="33"/>
      <c r="G1061" s="33"/>
    </row>
    <row r="1062" spans="1:7" ht="15.75">
      <c r="A1062" s="33"/>
      <c r="B1062" s="33"/>
      <c r="G1062" s="33"/>
    </row>
    <row r="1063" spans="1:7" ht="15.75">
      <c r="A1063" s="33"/>
      <c r="B1063" s="33"/>
      <c r="G1063" s="33"/>
    </row>
    <row r="1064" spans="1:7" ht="15.75">
      <c r="A1064" s="33"/>
      <c r="B1064" s="33"/>
      <c r="G1064" s="33"/>
    </row>
    <row r="1065" spans="1:7" ht="15.75">
      <c r="A1065" s="33"/>
      <c r="B1065" s="33"/>
      <c r="G1065" s="33"/>
    </row>
    <row r="1066" spans="1:7" ht="15.75">
      <c r="A1066" s="33"/>
      <c r="B1066" s="33"/>
      <c r="G1066" s="33"/>
    </row>
    <row r="1067" spans="1:7" ht="15.75">
      <c r="A1067" s="33"/>
      <c r="B1067" s="33"/>
      <c r="G1067" s="33"/>
    </row>
    <row r="1068" spans="1:7" ht="15.75">
      <c r="A1068" s="33"/>
      <c r="B1068" s="33"/>
      <c r="G1068" s="33"/>
    </row>
    <row r="1069" spans="1:7" ht="15.75">
      <c r="A1069" s="33"/>
      <c r="B1069" s="33"/>
      <c r="G1069" s="33"/>
    </row>
    <row r="1070" spans="1:7" ht="15.75">
      <c r="A1070" s="33"/>
      <c r="B1070" s="33"/>
      <c r="G1070" s="33"/>
    </row>
    <row r="1071" spans="1:7" ht="15.75">
      <c r="A1071" s="33"/>
      <c r="B1071" s="33"/>
      <c r="G1071" s="33"/>
    </row>
    <row r="1072" spans="1:7" ht="15.75">
      <c r="A1072" s="33"/>
      <c r="B1072" s="33"/>
      <c r="G1072" s="33"/>
    </row>
    <row r="1073" spans="1:7" ht="15.75">
      <c r="A1073" s="33"/>
      <c r="B1073" s="33"/>
      <c r="G1073" s="33"/>
    </row>
    <row r="1074" spans="1:7" ht="15.75">
      <c r="A1074" s="33"/>
      <c r="B1074" s="33"/>
      <c r="G1074" s="33"/>
    </row>
    <row r="1075" spans="1:7" ht="15.75">
      <c r="A1075" s="33"/>
      <c r="B1075" s="33"/>
      <c r="G1075" s="33"/>
    </row>
    <row r="1076" spans="1:7" ht="15.75">
      <c r="A1076" s="33"/>
      <c r="B1076" s="33"/>
      <c r="G1076" s="33"/>
    </row>
    <row r="1077" spans="1:7" ht="15.75">
      <c r="A1077" s="33"/>
      <c r="B1077" s="33"/>
      <c r="G1077" s="33"/>
    </row>
    <row r="1078" spans="1:7" ht="15.75">
      <c r="A1078" s="33"/>
      <c r="B1078" s="33"/>
      <c r="G1078" s="33"/>
    </row>
    <row r="1079" spans="1:7" ht="15.75">
      <c r="A1079" s="33"/>
      <c r="B1079" s="33"/>
      <c r="G1079" s="33"/>
    </row>
    <row r="1080" spans="1:7" ht="15.75">
      <c r="A1080" s="33"/>
      <c r="B1080" s="33"/>
      <c r="G1080" s="33"/>
    </row>
    <row r="1081" spans="1:7" ht="15.75">
      <c r="A1081" s="33"/>
      <c r="B1081" s="33"/>
      <c r="G1081" s="33"/>
    </row>
    <row r="1082" spans="1:7" ht="15.75">
      <c r="A1082" s="33"/>
      <c r="B1082" s="33"/>
      <c r="G1082" s="33"/>
    </row>
    <row r="1083" spans="1:7" ht="15.75">
      <c r="A1083" s="33"/>
      <c r="B1083" s="33"/>
      <c r="G1083" s="33"/>
    </row>
    <row r="1084" spans="1:7" ht="15.75">
      <c r="A1084" s="33"/>
      <c r="B1084" s="33"/>
      <c r="G1084" s="33"/>
    </row>
    <row r="1085" spans="1:7" ht="15.75">
      <c r="A1085" s="33"/>
      <c r="B1085" s="33"/>
      <c r="G1085" s="33"/>
    </row>
    <row r="1086" spans="1:7" ht="15.75">
      <c r="A1086" s="33"/>
      <c r="B1086" s="33"/>
      <c r="G1086" s="33"/>
    </row>
    <row r="1087" spans="1:7" ht="15.75">
      <c r="A1087" s="33"/>
      <c r="B1087" s="33"/>
      <c r="G1087" s="33"/>
    </row>
    <row r="1088" spans="1:7" ht="15.75">
      <c r="A1088" s="33"/>
      <c r="B1088" s="33"/>
      <c r="G1088" s="33"/>
    </row>
    <row r="1089" spans="1:7" ht="15.75">
      <c r="A1089" s="33"/>
      <c r="B1089" s="33"/>
      <c r="G1089" s="33"/>
    </row>
    <row r="1090" spans="1:7" ht="15.75">
      <c r="A1090" s="33"/>
      <c r="B1090" s="33"/>
      <c r="G1090" s="33"/>
    </row>
    <row r="1091" spans="1:7" ht="15.75">
      <c r="A1091" s="33"/>
      <c r="B1091" s="33"/>
      <c r="G1091" s="33"/>
    </row>
    <row r="1092" spans="1:7" ht="15.75">
      <c r="A1092" s="33"/>
      <c r="B1092" s="33"/>
      <c r="G1092" s="33"/>
    </row>
    <row r="1093" spans="1:7" ht="15.75">
      <c r="A1093" s="33"/>
      <c r="B1093" s="33"/>
      <c r="G1093" s="33"/>
    </row>
    <row r="1094" spans="1:7" ht="15.75">
      <c r="A1094" s="33"/>
      <c r="B1094" s="33"/>
      <c r="G1094" s="33"/>
    </row>
    <row r="1095" spans="1:7" ht="15.75">
      <c r="A1095" s="33"/>
      <c r="B1095" s="33"/>
      <c r="G1095" s="33"/>
    </row>
    <row r="1096" spans="1:7" ht="15.75">
      <c r="A1096" s="33"/>
      <c r="B1096" s="33"/>
      <c r="G1096" s="33"/>
    </row>
    <row r="1097" spans="1:7" ht="15.75">
      <c r="A1097" s="33"/>
      <c r="B1097" s="33"/>
      <c r="G1097" s="33"/>
    </row>
    <row r="1098" spans="1:7" ht="15.75">
      <c r="A1098" s="33"/>
      <c r="B1098" s="33"/>
      <c r="G1098" s="33"/>
    </row>
    <row r="1099" spans="1:7" ht="15.75">
      <c r="A1099" s="33"/>
      <c r="B1099" s="33"/>
      <c r="G1099" s="33"/>
    </row>
    <row r="1100" spans="1:7" ht="15.75">
      <c r="A1100" s="33"/>
      <c r="B1100" s="33"/>
      <c r="G1100" s="33"/>
    </row>
    <row r="1101" spans="1:7" ht="15.75">
      <c r="A1101" s="33"/>
      <c r="B1101" s="33"/>
      <c r="G1101" s="33"/>
    </row>
    <row r="1102" spans="1:7" ht="15.75">
      <c r="A1102" s="33"/>
      <c r="B1102" s="33"/>
      <c r="G1102" s="33"/>
    </row>
    <row r="1103" spans="1:7" ht="15.75">
      <c r="A1103" s="33"/>
      <c r="B1103" s="33"/>
      <c r="G1103" s="33"/>
    </row>
    <row r="1104" spans="1:7" ht="15.75">
      <c r="A1104" s="33"/>
      <c r="B1104" s="33"/>
      <c r="G1104" s="33"/>
    </row>
    <row r="1105" spans="1:7" ht="15.75">
      <c r="A1105" s="33"/>
      <c r="B1105" s="33"/>
      <c r="G1105" s="33"/>
    </row>
    <row r="1106" spans="1:7" ht="15.75">
      <c r="A1106" s="33"/>
      <c r="B1106" s="33"/>
      <c r="G1106" s="33"/>
    </row>
    <row r="1107" spans="1:7" ht="15.75">
      <c r="A1107" s="33"/>
      <c r="B1107" s="33"/>
      <c r="G1107" s="33"/>
    </row>
    <row r="1108" spans="1:7" ht="15.75">
      <c r="A1108" s="33"/>
      <c r="B1108" s="33"/>
      <c r="G1108" s="33"/>
    </row>
    <row r="1109" spans="1:7" ht="15.75">
      <c r="A1109" s="33"/>
      <c r="B1109" s="33"/>
      <c r="G1109" s="33"/>
    </row>
    <row r="1110" spans="1:7" ht="15.75">
      <c r="A1110" s="33"/>
      <c r="B1110" s="33"/>
      <c r="G1110" s="33"/>
    </row>
    <row r="1111" spans="1:7" ht="15.75">
      <c r="A1111" s="33"/>
      <c r="B1111" s="33"/>
      <c r="G1111" s="33"/>
    </row>
    <row r="1112" spans="1:7" ht="15.75">
      <c r="A1112" s="33"/>
      <c r="B1112" s="33"/>
      <c r="G1112" s="33"/>
    </row>
    <row r="1113" spans="1:7" ht="15.75">
      <c r="A1113" s="33"/>
      <c r="B1113" s="33"/>
      <c r="G1113" s="33"/>
    </row>
    <row r="1114" spans="1:7" ht="15.75">
      <c r="A1114" s="33"/>
      <c r="B1114" s="33"/>
      <c r="G1114" s="33"/>
    </row>
    <row r="1115" spans="1:7" ht="15.75">
      <c r="A1115" s="33"/>
      <c r="B1115" s="33"/>
      <c r="G1115" s="33"/>
    </row>
    <row r="1116" spans="1:7" ht="15.75">
      <c r="A1116" s="33"/>
      <c r="B1116" s="33"/>
      <c r="G1116" s="33"/>
    </row>
    <row r="1117" spans="1:7" ht="15.75">
      <c r="A1117" s="33"/>
      <c r="B1117" s="33"/>
      <c r="G1117" s="33"/>
    </row>
    <row r="1118" spans="1:7" ht="15.75">
      <c r="A1118" s="33"/>
      <c r="B1118" s="33"/>
      <c r="G1118" s="33"/>
    </row>
    <row r="1119" spans="1:7" ht="15.75">
      <c r="A1119" s="33"/>
      <c r="B1119" s="33"/>
      <c r="G1119" s="33"/>
    </row>
    <row r="1120" spans="1:7" ht="15.75">
      <c r="A1120" s="33"/>
      <c r="B1120" s="33"/>
      <c r="G1120" s="33"/>
    </row>
    <row r="1121" spans="1:7" ht="15.75">
      <c r="A1121" s="33"/>
      <c r="B1121" s="33"/>
      <c r="G1121" s="33"/>
    </row>
    <row r="1122" spans="1:7" ht="15.75">
      <c r="A1122" s="33"/>
      <c r="B1122" s="33"/>
      <c r="G1122" s="33"/>
    </row>
    <row r="1123" spans="1:7" ht="15.75">
      <c r="A1123" s="33"/>
      <c r="B1123" s="33"/>
      <c r="G1123" s="33"/>
    </row>
    <row r="1124" spans="1:7" ht="15.75">
      <c r="A1124" s="33"/>
      <c r="B1124" s="33"/>
      <c r="G1124" s="33"/>
    </row>
    <row r="1125" spans="1:7" ht="15.75">
      <c r="A1125" s="33"/>
      <c r="B1125" s="33"/>
      <c r="G1125" s="33"/>
    </row>
    <row r="1126" spans="1:7" ht="15.75">
      <c r="A1126" s="33"/>
      <c r="B1126" s="33"/>
      <c r="G1126" s="33"/>
    </row>
    <row r="1127" spans="1:7" ht="15.75">
      <c r="A1127" s="33"/>
      <c r="B1127" s="33"/>
      <c r="G1127" s="33"/>
    </row>
    <row r="1128" spans="1:7" ht="15.75">
      <c r="A1128" s="33"/>
      <c r="B1128" s="33"/>
      <c r="G1128" s="33"/>
    </row>
    <row r="1129" spans="1:7" ht="15.75">
      <c r="A1129" s="33"/>
      <c r="B1129" s="33"/>
      <c r="G1129" s="33"/>
    </row>
    <row r="1130" spans="1:7" ht="15.75">
      <c r="A1130" s="33"/>
      <c r="B1130" s="33"/>
      <c r="G1130" s="33"/>
    </row>
    <row r="1131" spans="1:7" ht="15.75">
      <c r="A1131" s="33"/>
      <c r="B1131" s="33"/>
      <c r="G1131" s="33"/>
    </row>
    <row r="1132" spans="1:7" ht="15.75">
      <c r="A1132" s="33"/>
      <c r="B1132" s="33"/>
      <c r="G1132" s="33"/>
    </row>
    <row r="1133" spans="1:7" ht="15.75">
      <c r="A1133" s="33"/>
      <c r="B1133" s="33"/>
      <c r="G1133" s="33"/>
    </row>
    <row r="1134" spans="1:7" ht="15.75">
      <c r="A1134" s="33"/>
      <c r="B1134" s="33"/>
      <c r="G1134" s="33"/>
    </row>
    <row r="1135" spans="1:7" ht="15.75">
      <c r="A1135" s="33"/>
      <c r="B1135" s="33"/>
      <c r="G1135" s="33"/>
    </row>
    <row r="1136" spans="1:7" ht="15.75">
      <c r="A1136" s="33"/>
      <c r="B1136" s="33"/>
      <c r="G1136" s="33"/>
    </row>
    <row r="1137" spans="1:7" ht="15.75">
      <c r="A1137" s="33"/>
      <c r="B1137" s="33"/>
      <c r="G1137" s="33"/>
    </row>
    <row r="1138" spans="1:7" ht="15.75">
      <c r="A1138" s="33"/>
      <c r="B1138" s="33"/>
      <c r="G1138" s="33"/>
    </row>
    <row r="1139" spans="1:7" ht="15.75">
      <c r="A1139" s="33"/>
      <c r="B1139" s="33"/>
      <c r="G1139" s="33"/>
    </row>
    <row r="1140" spans="1:7" ht="15.75">
      <c r="A1140" s="33"/>
      <c r="B1140" s="33"/>
      <c r="G1140" s="33"/>
    </row>
    <row r="1141" spans="1:7" ht="15.75">
      <c r="A1141" s="33"/>
      <c r="B1141" s="33"/>
      <c r="G1141" s="33"/>
    </row>
    <row r="1142" spans="1:7" ht="15.75">
      <c r="A1142" s="33"/>
      <c r="B1142" s="33"/>
      <c r="G1142" s="33"/>
    </row>
    <row r="1143" spans="1:7" ht="15.75">
      <c r="A1143" s="33"/>
      <c r="B1143" s="33"/>
      <c r="G1143" s="33"/>
    </row>
    <row r="1144" spans="1:7" ht="15.75">
      <c r="A1144" s="33"/>
      <c r="B1144" s="33"/>
      <c r="G1144" s="33"/>
    </row>
    <row r="1145" spans="1:7" ht="15.75">
      <c r="A1145" s="33"/>
      <c r="B1145" s="33"/>
      <c r="G1145" s="33"/>
    </row>
    <row r="1146" spans="1:7" ht="15.75">
      <c r="A1146" s="33"/>
      <c r="B1146" s="33"/>
      <c r="G1146" s="33"/>
    </row>
    <row r="1147" spans="1:7" ht="15.75">
      <c r="A1147" s="33"/>
      <c r="B1147" s="33"/>
      <c r="G1147" s="33"/>
    </row>
    <row r="1148" spans="1:7" ht="15.75">
      <c r="A1148" s="33"/>
      <c r="B1148" s="33"/>
      <c r="G1148" s="33"/>
    </row>
    <row r="1149" spans="1:7" ht="15.75">
      <c r="A1149" s="33"/>
      <c r="B1149" s="33"/>
      <c r="G1149" s="33"/>
    </row>
    <row r="1150" spans="1:7" ht="15.75">
      <c r="A1150" s="33"/>
      <c r="B1150" s="33"/>
      <c r="G1150" s="33"/>
    </row>
    <row r="1151" spans="1:7" ht="15.75">
      <c r="A1151" s="33"/>
      <c r="B1151" s="33"/>
      <c r="G1151" s="33"/>
    </row>
    <row r="1152" spans="1:7" ht="15.75">
      <c r="A1152" s="33"/>
      <c r="B1152" s="33"/>
      <c r="G1152" s="33"/>
    </row>
    <row r="1153" spans="1:7" ht="15.75">
      <c r="A1153" s="33"/>
      <c r="B1153" s="33"/>
      <c r="G1153" s="33"/>
    </row>
    <row r="1154" spans="1:7" ht="15.75">
      <c r="A1154" s="33"/>
      <c r="B1154" s="33"/>
      <c r="G1154" s="33"/>
    </row>
    <row r="1155" spans="1:7" ht="15.75">
      <c r="A1155" s="33"/>
      <c r="B1155" s="33"/>
      <c r="G1155" s="33"/>
    </row>
    <row r="1156" spans="1:7" ht="15.75">
      <c r="A1156" s="33"/>
      <c r="B1156" s="33"/>
      <c r="G1156" s="33"/>
    </row>
    <row r="1157" spans="1:7" ht="15.75">
      <c r="A1157" s="33"/>
      <c r="B1157" s="33"/>
      <c r="G1157" s="33"/>
    </row>
    <row r="1158" spans="1:7" ht="15.75">
      <c r="A1158" s="33"/>
      <c r="B1158" s="33"/>
      <c r="G1158" s="33"/>
    </row>
    <row r="1159" spans="1:7" ht="15.75">
      <c r="A1159" s="33"/>
      <c r="B1159" s="33"/>
      <c r="G1159" s="33"/>
    </row>
    <row r="1160" spans="1:7" ht="15.75">
      <c r="A1160" s="33"/>
      <c r="B1160" s="33"/>
      <c r="G1160" s="33"/>
    </row>
    <row r="1161" spans="1:7" ht="15.75">
      <c r="A1161" s="33"/>
      <c r="B1161" s="33"/>
      <c r="G1161" s="33"/>
    </row>
    <row r="1162" spans="1:7" ht="15.75">
      <c r="A1162" s="33"/>
      <c r="B1162" s="33"/>
      <c r="G1162" s="33"/>
    </row>
    <row r="1163" spans="1:7" ht="15.75">
      <c r="A1163" s="33"/>
      <c r="B1163" s="33"/>
      <c r="G1163" s="33"/>
    </row>
    <row r="1164" spans="1:7" ht="15.75">
      <c r="A1164" s="33"/>
      <c r="B1164" s="33"/>
      <c r="G1164" s="33"/>
    </row>
    <row r="1165" spans="1:7" ht="15.75">
      <c r="A1165" s="33"/>
      <c r="B1165" s="33"/>
      <c r="G1165" s="33"/>
    </row>
    <row r="1166" spans="1:7" ht="15.75">
      <c r="A1166" s="33"/>
      <c r="B1166" s="33"/>
      <c r="G1166" s="33"/>
    </row>
    <row r="1167" spans="1:7" ht="15.75">
      <c r="A1167" s="33"/>
      <c r="B1167" s="33"/>
      <c r="G1167" s="33"/>
    </row>
    <row r="1168" spans="1:7" ht="15.75">
      <c r="A1168" s="33"/>
      <c r="B1168" s="33"/>
      <c r="G1168" s="33"/>
    </row>
    <row r="1169" spans="1:7" ht="15.75">
      <c r="A1169" s="33"/>
      <c r="B1169" s="33"/>
      <c r="G1169" s="33"/>
    </row>
    <row r="1170" spans="1:7" ht="15.75">
      <c r="A1170" s="33"/>
      <c r="B1170" s="33"/>
      <c r="G1170" s="33"/>
    </row>
    <row r="1171" spans="1:7" ht="15.75">
      <c r="A1171" s="33"/>
      <c r="B1171" s="33"/>
      <c r="G1171" s="33"/>
    </row>
    <row r="1172" spans="1:7" ht="15.75">
      <c r="A1172" s="33"/>
      <c r="B1172" s="33"/>
      <c r="G1172" s="33"/>
    </row>
    <row r="1173" spans="1:7" ht="15.75">
      <c r="A1173" s="33"/>
      <c r="B1173" s="33"/>
      <c r="G1173" s="33"/>
    </row>
    <row r="1174" spans="1:7" ht="15.75">
      <c r="A1174" s="33"/>
      <c r="B1174" s="33"/>
      <c r="G1174" s="33"/>
    </row>
    <row r="1175" spans="1:7" ht="15.75">
      <c r="A1175" s="33"/>
      <c r="B1175" s="33"/>
      <c r="G1175" s="33"/>
    </row>
    <row r="1176" spans="1:7" ht="15.75">
      <c r="A1176" s="33"/>
      <c r="B1176" s="33"/>
      <c r="G1176" s="33"/>
    </row>
    <row r="1177" spans="1:7" ht="15.75">
      <c r="A1177" s="33"/>
      <c r="B1177" s="33"/>
      <c r="G1177" s="33"/>
    </row>
    <row r="1178" spans="1:7" ht="15.75">
      <c r="A1178" s="33"/>
      <c r="B1178" s="33"/>
      <c r="G1178" s="33"/>
    </row>
    <row r="1179" spans="1:7" ht="15.75">
      <c r="A1179" s="33"/>
      <c r="B1179" s="33"/>
      <c r="G1179" s="33"/>
    </row>
    <row r="1180" spans="1:7" ht="15.75">
      <c r="A1180" s="33"/>
      <c r="B1180" s="33"/>
      <c r="G1180" s="33"/>
    </row>
    <row r="1181" spans="1:7" ht="15.75">
      <c r="A1181" s="33"/>
      <c r="B1181" s="33"/>
      <c r="G1181" s="33"/>
    </row>
    <row r="1182" spans="1:7" ht="15.75">
      <c r="A1182" s="33"/>
      <c r="B1182" s="33"/>
      <c r="G1182" s="33"/>
    </row>
    <row r="1183" spans="1:7" ht="15.75">
      <c r="A1183" s="33"/>
      <c r="B1183" s="33"/>
      <c r="G1183" s="33"/>
    </row>
    <row r="1184" spans="1:7" ht="15.75">
      <c r="A1184" s="33"/>
      <c r="B1184" s="33"/>
      <c r="G1184" s="33"/>
    </row>
    <row r="1185" spans="1:7" ht="15.75">
      <c r="A1185" s="33"/>
      <c r="B1185" s="33"/>
      <c r="G1185" s="33"/>
    </row>
    <row r="1186" spans="1:7" ht="15.75">
      <c r="A1186" s="33"/>
      <c r="B1186" s="33"/>
      <c r="G1186" s="33"/>
    </row>
    <row r="1187" spans="1:7" ht="15.75">
      <c r="A1187" s="33"/>
      <c r="B1187" s="33"/>
      <c r="G1187" s="33"/>
    </row>
    <row r="1188" spans="1:7" ht="15.75">
      <c r="A1188" s="33"/>
      <c r="B1188" s="33"/>
      <c r="G1188" s="33"/>
    </row>
    <row r="1189" spans="1:7" ht="15.75">
      <c r="A1189" s="33"/>
      <c r="B1189" s="33"/>
      <c r="G1189" s="33"/>
    </row>
    <row r="1190" spans="1:7" ht="15.75">
      <c r="A1190" s="33"/>
      <c r="B1190" s="33"/>
      <c r="G1190" s="33"/>
    </row>
    <row r="1191" spans="1:7" ht="15.75">
      <c r="A1191" s="33"/>
      <c r="B1191" s="33"/>
      <c r="G1191" s="33"/>
    </row>
    <row r="1192" spans="1:7" ht="15.75">
      <c r="A1192" s="33"/>
      <c r="B1192" s="33"/>
      <c r="G1192" s="33"/>
    </row>
    <row r="1193" spans="1:7" ht="15.75">
      <c r="A1193" s="33"/>
      <c r="B1193" s="33"/>
      <c r="G1193" s="33"/>
    </row>
    <row r="1194" spans="1:7" ht="15.75">
      <c r="A1194" s="33"/>
      <c r="B1194" s="33"/>
      <c r="G1194" s="33"/>
    </row>
    <row r="1195" spans="1:7" ht="15.75">
      <c r="A1195" s="33"/>
      <c r="B1195" s="33"/>
      <c r="G1195" s="33"/>
    </row>
    <row r="1196" spans="1:7" ht="15.75">
      <c r="A1196" s="33"/>
      <c r="B1196" s="33"/>
      <c r="G1196" s="33"/>
    </row>
    <row r="1197" spans="1:7" ht="15.75">
      <c r="A1197" s="33"/>
      <c r="B1197" s="33"/>
      <c r="G1197" s="33"/>
    </row>
    <row r="1198" spans="1:7" ht="15.75">
      <c r="A1198" s="33"/>
      <c r="B1198" s="33"/>
      <c r="G1198" s="33"/>
    </row>
    <row r="1199" spans="1:7" ht="15.75">
      <c r="A1199" s="33"/>
      <c r="B1199" s="33"/>
      <c r="G1199" s="33"/>
    </row>
    <row r="1200" spans="1:7" ht="15.75">
      <c r="A1200" s="33"/>
      <c r="B1200" s="33"/>
      <c r="G1200" s="33"/>
    </row>
    <row r="1201" spans="1:7" ht="15.75">
      <c r="A1201" s="33"/>
      <c r="B1201" s="33"/>
      <c r="G1201" s="33"/>
    </row>
    <row r="1202" spans="1:7" ht="15.75">
      <c r="A1202" s="33"/>
      <c r="B1202" s="33"/>
      <c r="G1202" s="33"/>
    </row>
    <row r="1203" spans="1:7" ht="15.75">
      <c r="A1203" s="33"/>
      <c r="B1203" s="33"/>
      <c r="G1203" s="33"/>
    </row>
    <row r="1204" spans="1:7" ht="15.75">
      <c r="A1204" s="33"/>
      <c r="B1204" s="33"/>
      <c r="G1204" s="33"/>
    </row>
    <row r="1205" spans="1:7" ht="15.75">
      <c r="A1205" s="33"/>
      <c r="B1205" s="33"/>
      <c r="G1205" s="33"/>
    </row>
    <row r="1206" spans="1:7" ht="15.75">
      <c r="A1206" s="33"/>
      <c r="B1206" s="33"/>
      <c r="G1206" s="33"/>
    </row>
    <row r="1207" spans="1:7" ht="15.75">
      <c r="A1207" s="33"/>
      <c r="B1207" s="33"/>
      <c r="G1207" s="33"/>
    </row>
    <row r="1208" spans="1:7" ht="15.75">
      <c r="A1208" s="33"/>
      <c r="B1208" s="33"/>
      <c r="G1208" s="33"/>
    </row>
    <row r="1209" spans="1:7" ht="15.75">
      <c r="A1209" s="33"/>
      <c r="B1209" s="33"/>
      <c r="G1209" s="33"/>
    </row>
    <row r="1210" spans="1:7" ht="15.75">
      <c r="A1210" s="33"/>
      <c r="B1210" s="33"/>
      <c r="G1210" s="33"/>
    </row>
    <row r="1211" spans="1:7" ht="15.75">
      <c r="A1211" s="33"/>
      <c r="B1211" s="33"/>
      <c r="G1211" s="33"/>
    </row>
    <row r="1212" spans="1:7" ht="15.75">
      <c r="A1212" s="33"/>
      <c r="B1212" s="33"/>
      <c r="G1212" s="33"/>
    </row>
    <row r="1213" spans="1:7" ht="15.75">
      <c r="A1213" s="33"/>
      <c r="B1213" s="33"/>
      <c r="G1213" s="33"/>
    </row>
    <row r="1214" spans="1:7" ht="15.75">
      <c r="A1214" s="33"/>
      <c r="B1214" s="33"/>
      <c r="G1214" s="33"/>
    </row>
    <row r="1215" spans="1:7" ht="15.75">
      <c r="A1215" s="33"/>
      <c r="B1215" s="33"/>
      <c r="G1215" s="33"/>
    </row>
    <row r="1216" spans="1:7" ht="15.75">
      <c r="A1216" s="33"/>
      <c r="B1216" s="33"/>
      <c r="G1216" s="33"/>
    </row>
    <row r="1217" spans="1:7" ht="15.75">
      <c r="A1217" s="33"/>
      <c r="B1217" s="33"/>
      <c r="G1217" s="33"/>
    </row>
    <row r="1218" spans="1:7" ht="15.75">
      <c r="A1218" s="33"/>
      <c r="B1218" s="33"/>
      <c r="G1218" s="33"/>
    </row>
    <row r="1219" spans="1:7" ht="15.75">
      <c r="A1219" s="33"/>
      <c r="B1219" s="33"/>
      <c r="G1219" s="33"/>
    </row>
    <row r="1220" spans="1:7" ht="15.75">
      <c r="A1220" s="33"/>
      <c r="B1220" s="33"/>
      <c r="G1220" s="33"/>
    </row>
    <row r="1221" spans="1:7" ht="15.75">
      <c r="A1221" s="33"/>
      <c r="B1221" s="33"/>
      <c r="G1221" s="33"/>
    </row>
    <row r="1222" spans="1:7" ht="15.75">
      <c r="A1222" s="33"/>
      <c r="B1222" s="33"/>
      <c r="G1222" s="33"/>
    </row>
    <row r="1223" spans="1:7" ht="15.75">
      <c r="A1223" s="33"/>
      <c r="B1223" s="33"/>
      <c r="G1223" s="33"/>
    </row>
    <row r="1224" spans="1:7" ht="15.75">
      <c r="A1224" s="33"/>
      <c r="B1224" s="33"/>
      <c r="G1224" s="33"/>
    </row>
    <row r="1225" spans="1:7" ht="15.75">
      <c r="A1225" s="33"/>
      <c r="B1225" s="33"/>
      <c r="G1225" s="33"/>
    </row>
    <row r="1226" spans="1:7" ht="15.75">
      <c r="A1226" s="33"/>
      <c r="B1226" s="33"/>
      <c r="G1226" s="33"/>
    </row>
    <row r="1227" spans="1:7" ht="15.75">
      <c r="A1227" s="33"/>
      <c r="B1227" s="33"/>
      <c r="G1227" s="33"/>
    </row>
    <row r="1228" spans="1:7" ht="15.75">
      <c r="A1228" s="33"/>
      <c r="B1228" s="33"/>
      <c r="G1228" s="33"/>
    </row>
    <row r="1229" spans="1:7" ht="15.75">
      <c r="A1229" s="33"/>
      <c r="B1229" s="33"/>
      <c r="G1229" s="33"/>
    </row>
    <row r="1230" spans="1:7" ht="15.75">
      <c r="A1230" s="33"/>
      <c r="B1230" s="33"/>
      <c r="G1230" s="33"/>
    </row>
    <row r="1231" spans="1:7" ht="15.75">
      <c r="A1231" s="33"/>
      <c r="B1231" s="33"/>
      <c r="G1231" s="33"/>
    </row>
    <row r="1232" spans="1:7" ht="15.75">
      <c r="A1232" s="33"/>
      <c r="B1232" s="33"/>
      <c r="G1232" s="33"/>
    </row>
    <row r="1233" spans="1:7" ht="15.75">
      <c r="A1233" s="33"/>
      <c r="B1233" s="33"/>
      <c r="G1233" s="33"/>
    </row>
    <row r="1234" spans="1:7" ht="15.75">
      <c r="A1234" s="33"/>
      <c r="B1234" s="33"/>
      <c r="G1234" s="33"/>
    </row>
    <row r="1235" spans="1:7" ht="15.75">
      <c r="A1235" s="33"/>
      <c r="B1235" s="33"/>
      <c r="G1235" s="33"/>
    </row>
    <row r="1236" spans="1:7" ht="15.75">
      <c r="A1236" s="33"/>
      <c r="B1236" s="33"/>
      <c r="G1236" s="33"/>
    </row>
    <row r="1237" spans="1:7" ht="15.75">
      <c r="A1237" s="33"/>
      <c r="B1237" s="33"/>
      <c r="G1237" s="33"/>
    </row>
    <row r="1238" spans="1:7" ht="15.75">
      <c r="A1238" s="33"/>
      <c r="B1238" s="33"/>
      <c r="G1238" s="33"/>
    </row>
    <row r="1239" spans="1:7" ht="15.75">
      <c r="A1239" s="33"/>
      <c r="B1239" s="33"/>
      <c r="G1239" s="33"/>
    </row>
    <row r="1240" spans="1:7" ht="15.75">
      <c r="A1240" s="33"/>
      <c r="B1240" s="33"/>
      <c r="G1240" s="33"/>
    </row>
    <row r="1241" spans="1:7" ht="15.75">
      <c r="A1241" s="33"/>
      <c r="B1241" s="33"/>
      <c r="G1241" s="33"/>
    </row>
    <row r="1242" spans="1:7" ht="15.75">
      <c r="A1242" s="33"/>
      <c r="B1242" s="33"/>
      <c r="G1242" s="33"/>
    </row>
    <row r="1243" spans="1:7" ht="15.75">
      <c r="A1243" s="33"/>
      <c r="B1243" s="33"/>
      <c r="G1243" s="33"/>
    </row>
    <row r="1244" spans="1:7" ht="15.75">
      <c r="A1244" s="33"/>
      <c r="B1244" s="33"/>
      <c r="G1244" s="33"/>
    </row>
    <row r="1245" spans="1:7" ht="15.75">
      <c r="A1245" s="33"/>
      <c r="B1245" s="33"/>
      <c r="G1245" s="33"/>
    </row>
    <row r="1246" spans="1:7" ht="15.75">
      <c r="A1246" s="33"/>
      <c r="B1246" s="33"/>
      <c r="G1246" s="33"/>
    </row>
    <row r="1247" spans="1:7" ht="15.75">
      <c r="A1247" s="33"/>
      <c r="B1247" s="33"/>
      <c r="G1247" s="33"/>
    </row>
    <row r="1248" spans="1:7" ht="15.75">
      <c r="A1248" s="33"/>
      <c r="B1248" s="33"/>
      <c r="G1248" s="33"/>
    </row>
    <row r="1249" spans="1:7" ht="15.75">
      <c r="A1249" s="33"/>
      <c r="B1249" s="33"/>
      <c r="G1249" s="33"/>
    </row>
    <row r="1250" spans="1:7" ht="15.75">
      <c r="A1250" s="33"/>
      <c r="B1250" s="33"/>
      <c r="G1250" s="33"/>
    </row>
    <row r="1251" spans="1:7" ht="15.75">
      <c r="A1251" s="33"/>
      <c r="B1251" s="33"/>
      <c r="G1251" s="33"/>
    </row>
    <row r="1252" spans="1:7" ht="15.75">
      <c r="A1252" s="33"/>
      <c r="B1252" s="33"/>
      <c r="G1252" s="33"/>
    </row>
    <row r="1253" spans="1:7" ht="15.75">
      <c r="A1253" s="33"/>
      <c r="B1253" s="33"/>
      <c r="G1253" s="33"/>
    </row>
    <row r="1254" spans="1:7" ht="15.75">
      <c r="A1254" s="33"/>
      <c r="B1254" s="33"/>
      <c r="G1254" s="33"/>
    </row>
    <row r="1255" spans="1:7" ht="15.75">
      <c r="A1255" s="33"/>
      <c r="B1255" s="33"/>
      <c r="G1255" s="33"/>
    </row>
    <row r="1256" spans="1:7" ht="15.75">
      <c r="A1256" s="33"/>
      <c r="B1256" s="33"/>
      <c r="G1256" s="33"/>
    </row>
    <row r="1257" spans="1:7" ht="15.75">
      <c r="A1257" s="33"/>
      <c r="B1257" s="33"/>
      <c r="G1257" s="33"/>
    </row>
    <row r="1258" spans="1:7" ht="15.75">
      <c r="A1258" s="33"/>
      <c r="B1258" s="33"/>
      <c r="G1258" s="33"/>
    </row>
    <row r="1259" spans="1:7" ht="15.75">
      <c r="A1259" s="33"/>
      <c r="B1259" s="33"/>
      <c r="G1259" s="33"/>
    </row>
    <row r="1260" spans="1:7" ht="15.75">
      <c r="A1260" s="33"/>
      <c r="B1260" s="33"/>
      <c r="G1260" s="33"/>
    </row>
    <row r="1261" spans="1:7" ht="15.75">
      <c r="A1261" s="33"/>
      <c r="B1261" s="33"/>
      <c r="G1261" s="33"/>
    </row>
    <row r="1262" spans="1:7" ht="15.75">
      <c r="A1262" s="33"/>
      <c r="B1262" s="33"/>
      <c r="G1262" s="33"/>
    </row>
    <row r="1263" spans="1:7" ht="15.75">
      <c r="A1263" s="33"/>
      <c r="B1263" s="33"/>
      <c r="G1263" s="33"/>
    </row>
    <row r="1264" spans="1:7" ht="15.75">
      <c r="A1264" s="33"/>
      <c r="B1264" s="33"/>
      <c r="G1264" s="33"/>
    </row>
    <row r="1265" spans="1:7" ht="15.75">
      <c r="A1265" s="33"/>
      <c r="B1265" s="33"/>
      <c r="G1265" s="33"/>
    </row>
    <row r="1266" spans="1:7" ht="15.75">
      <c r="A1266" s="33"/>
      <c r="B1266" s="33"/>
      <c r="G1266" s="33"/>
    </row>
    <row r="1267" spans="1:7" ht="15.75">
      <c r="A1267" s="33"/>
      <c r="B1267" s="33"/>
      <c r="G1267" s="33"/>
    </row>
    <row r="1268" spans="1:7" ht="15.75">
      <c r="A1268" s="33"/>
      <c r="B1268" s="33"/>
      <c r="G1268" s="33"/>
    </row>
    <row r="1269" spans="1:7" ht="15.75">
      <c r="A1269" s="33"/>
      <c r="B1269" s="33"/>
      <c r="G1269" s="33"/>
    </row>
    <row r="1270" spans="1:7" ht="15.75">
      <c r="A1270" s="33"/>
      <c r="B1270" s="33"/>
      <c r="G1270" s="33"/>
    </row>
    <row r="1271" spans="1:7" ht="15.75">
      <c r="A1271" s="33"/>
      <c r="B1271" s="33"/>
      <c r="G1271" s="33"/>
    </row>
    <row r="1272" spans="1:7" ht="15.75">
      <c r="A1272" s="33"/>
      <c r="B1272" s="33"/>
      <c r="G1272" s="33"/>
    </row>
    <row r="1273" spans="1:7" ht="15.75">
      <c r="A1273" s="33"/>
      <c r="B1273" s="33"/>
      <c r="G1273" s="33"/>
    </row>
    <row r="1274" spans="1:7" ht="15.75">
      <c r="A1274" s="33"/>
      <c r="B1274" s="33"/>
      <c r="G1274" s="33"/>
    </row>
    <row r="1275" spans="1:7" ht="15.75">
      <c r="A1275" s="33"/>
      <c r="B1275" s="33"/>
      <c r="G1275" s="33"/>
    </row>
    <row r="1276" spans="1:7" ht="15.75">
      <c r="A1276" s="33"/>
      <c r="B1276" s="33"/>
      <c r="G1276" s="33"/>
    </row>
    <row r="1277" spans="1:7" ht="15.75">
      <c r="A1277" s="33"/>
      <c r="B1277" s="33"/>
      <c r="G1277" s="33"/>
    </row>
    <row r="1278" spans="1:7" ht="15.75">
      <c r="A1278" s="33"/>
      <c r="B1278" s="33"/>
      <c r="G1278" s="33"/>
    </row>
    <row r="1279" spans="1:7" ht="15.75">
      <c r="A1279" s="33"/>
      <c r="B1279" s="33"/>
      <c r="G1279" s="33"/>
    </row>
    <row r="1280" spans="1:7" ht="15.75">
      <c r="A1280" s="33"/>
      <c r="B1280" s="33"/>
      <c r="G1280" s="33"/>
    </row>
    <row r="1281" spans="1:7" ht="15.75">
      <c r="A1281" s="33"/>
      <c r="B1281" s="33"/>
      <c r="G1281" s="33"/>
    </row>
    <row r="1282" spans="1:7" ht="15.75">
      <c r="A1282" s="33"/>
      <c r="B1282" s="33"/>
      <c r="G1282" s="33"/>
    </row>
    <row r="1283" spans="1:7" ht="15.75">
      <c r="A1283" s="33"/>
      <c r="B1283" s="33"/>
      <c r="G1283" s="33"/>
    </row>
    <row r="1284" spans="1:7" ht="15.75">
      <c r="A1284" s="33"/>
      <c r="B1284" s="33"/>
      <c r="G1284" s="33"/>
    </row>
    <row r="1285" spans="1:7" ht="15.75">
      <c r="A1285" s="33"/>
      <c r="B1285" s="33"/>
      <c r="G1285" s="33"/>
    </row>
    <row r="1286" spans="1:7" ht="15.75">
      <c r="A1286" s="33"/>
      <c r="B1286" s="33"/>
      <c r="G1286" s="33"/>
    </row>
    <row r="1287" spans="1:7" ht="15.75">
      <c r="A1287" s="33"/>
      <c r="B1287" s="33"/>
      <c r="G1287" s="33"/>
    </row>
    <row r="1288" spans="1:7" ht="15.75">
      <c r="A1288" s="33"/>
      <c r="B1288" s="33"/>
      <c r="G1288" s="33"/>
    </row>
    <row r="1289" spans="1:7" ht="15.75">
      <c r="A1289" s="33"/>
      <c r="B1289" s="33"/>
      <c r="G1289" s="33"/>
    </row>
    <row r="1290" spans="1:7" ht="15.75">
      <c r="A1290" s="33"/>
      <c r="B1290" s="33"/>
      <c r="G1290" s="33"/>
    </row>
    <row r="1291" spans="1:7" ht="15.75">
      <c r="A1291" s="33"/>
      <c r="B1291" s="33"/>
      <c r="G1291" s="33"/>
    </row>
    <row r="1292" spans="1:7" ht="15.75">
      <c r="A1292" s="33"/>
      <c r="B1292" s="33"/>
      <c r="G1292" s="33"/>
    </row>
    <row r="1293" spans="1:7" ht="15.75">
      <c r="A1293" s="33"/>
      <c r="B1293" s="33"/>
      <c r="G1293" s="33"/>
    </row>
    <row r="1294" spans="1:7" ht="15.75">
      <c r="A1294" s="33"/>
      <c r="B1294" s="33"/>
      <c r="G1294" s="33"/>
    </row>
    <row r="1295" spans="1:7" ht="15.75">
      <c r="A1295" s="33"/>
      <c r="B1295" s="33"/>
      <c r="G1295" s="33"/>
    </row>
    <row r="1296" spans="1:7" ht="15.75">
      <c r="A1296" s="33"/>
      <c r="B1296" s="33"/>
      <c r="G1296" s="33"/>
    </row>
    <row r="1297" spans="1:7" ht="15.75">
      <c r="A1297" s="33"/>
      <c r="B1297" s="33"/>
      <c r="G1297" s="33"/>
    </row>
    <row r="1298" spans="1:7" ht="15.75">
      <c r="A1298" s="33"/>
      <c r="B1298" s="33"/>
      <c r="G1298" s="33"/>
    </row>
    <row r="1299" spans="1:7" ht="15.75">
      <c r="A1299" s="33"/>
      <c r="B1299" s="33"/>
      <c r="G1299" s="33"/>
    </row>
    <row r="1300" spans="1:7" ht="15.75">
      <c r="A1300" s="33"/>
      <c r="B1300" s="33"/>
      <c r="G1300" s="33"/>
    </row>
    <row r="1301" spans="1:7" ht="15.75">
      <c r="A1301" s="33"/>
      <c r="B1301" s="33"/>
      <c r="G1301" s="33"/>
    </row>
    <row r="1302" spans="1:7" ht="15.75">
      <c r="A1302" s="33"/>
      <c r="B1302" s="33"/>
      <c r="G1302" s="33"/>
    </row>
    <row r="1303" spans="1:7" ht="15.75">
      <c r="A1303" s="33"/>
      <c r="B1303" s="33"/>
      <c r="G1303" s="33"/>
    </row>
    <row r="1304" spans="1:7" ht="15.75">
      <c r="A1304" s="33"/>
      <c r="B1304" s="33"/>
      <c r="G1304" s="33"/>
    </row>
    <row r="1305" spans="1:7" ht="15.75">
      <c r="A1305" s="33"/>
      <c r="B1305" s="33"/>
      <c r="G1305" s="33"/>
    </row>
    <row r="1306" spans="1:7" ht="15.75">
      <c r="A1306" s="33"/>
      <c r="B1306" s="33"/>
      <c r="G1306" s="33"/>
    </row>
    <row r="1307" spans="1:7" ht="15.75">
      <c r="A1307" s="33"/>
      <c r="B1307" s="33"/>
      <c r="G1307" s="33"/>
    </row>
    <row r="1308" spans="1:7" ht="15.75">
      <c r="A1308" s="33"/>
      <c r="B1308" s="33"/>
      <c r="G1308" s="33"/>
    </row>
    <row r="1309" spans="1:7" ht="15.75">
      <c r="A1309" s="33"/>
      <c r="B1309" s="33"/>
      <c r="G1309" s="33"/>
    </row>
    <row r="1310" spans="1:7" ht="15.75">
      <c r="A1310" s="33"/>
      <c r="B1310" s="33"/>
      <c r="G1310" s="33"/>
    </row>
    <row r="1311" spans="1:7" ht="15.75">
      <c r="A1311" s="33"/>
      <c r="B1311" s="33"/>
      <c r="G1311" s="33"/>
    </row>
    <row r="1312" spans="1:7" ht="15.75">
      <c r="A1312" s="33"/>
      <c r="B1312" s="33"/>
      <c r="G1312" s="33"/>
    </row>
    <row r="1313" spans="1:7" ht="15.75">
      <c r="A1313" s="33"/>
      <c r="B1313" s="33"/>
      <c r="G1313" s="33"/>
    </row>
    <row r="1314" spans="1:7" ht="15.75">
      <c r="A1314" s="33"/>
      <c r="B1314" s="33"/>
      <c r="G1314" s="33"/>
    </row>
    <row r="1315" spans="1:7" ht="15.75">
      <c r="A1315" s="33"/>
      <c r="B1315" s="33"/>
      <c r="G1315" s="33"/>
    </row>
    <row r="1316" spans="1:7" ht="15.75">
      <c r="A1316" s="33"/>
      <c r="B1316" s="33"/>
      <c r="G1316" s="33"/>
    </row>
    <row r="1317" spans="1:7" ht="15.75">
      <c r="A1317" s="33"/>
      <c r="B1317" s="33"/>
      <c r="G1317" s="33"/>
    </row>
    <row r="1318" spans="1:7" ht="15.75">
      <c r="A1318" s="33"/>
      <c r="B1318" s="33"/>
      <c r="G1318" s="33"/>
    </row>
    <row r="1319" spans="1:7" ht="15.75">
      <c r="A1319" s="33"/>
      <c r="B1319" s="33"/>
      <c r="G1319" s="33"/>
    </row>
    <row r="1320" spans="1:7" ht="15.75">
      <c r="A1320" s="33"/>
      <c r="B1320" s="33"/>
      <c r="G1320" s="33"/>
    </row>
    <row r="1321" spans="1:7" ht="15.75">
      <c r="A1321" s="33"/>
      <c r="B1321" s="33"/>
      <c r="G1321" s="33"/>
    </row>
    <row r="1322" spans="1:7" ht="15.75">
      <c r="A1322" s="33"/>
      <c r="B1322" s="33"/>
      <c r="G1322" s="33"/>
    </row>
    <row r="1323" spans="1:7" ht="15.75">
      <c r="A1323" s="33"/>
      <c r="B1323" s="33"/>
      <c r="G1323" s="33"/>
    </row>
    <row r="1324" spans="1:7" ht="15.75">
      <c r="A1324" s="33"/>
      <c r="B1324" s="33"/>
      <c r="G1324" s="33"/>
    </row>
    <row r="1325" spans="1:7" ht="15.75">
      <c r="A1325" s="33"/>
      <c r="B1325" s="33"/>
      <c r="G1325" s="33"/>
    </row>
    <row r="1326" spans="1:7" ht="15.75">
      <c r="A1326" s="33"/>
      <c r="B1326" s="33"/>
      <c r="G1326" s="33"/>
    </row>
    <row r="1327" spans="1:7" ht="15.75">
      <c r="A1327" s="33"/>
      <c r="B1327" s="33"/>
      <c r="G1327" s="33"/>
    </row>
    <row r="1328" spans="1:7" ht="15.75">
      <c r="A1328" s="33"/>
      <c r="B1328" s="33"/>
      <c r="G1328" s="33"/>
    </row>
    <row r="1329" spans="1:7" ht="15.75">
      <c r="A1329" s="33"/>
      <c r="B1329" s="33"/>
      <c r="G1329" s="33"/>
    </row>
    <row r="1330" spans="1:7" ht="15.75">
      <c r="A1330" s="33"/>
      <c r="B1330" s="33"/>
      <c r="G1330" s="33"/>
    </row>
    <row r="1331" spans="1:7" ht="15.75">
      <c r="A1331" s="33"/>
      <c r="B1331" s="33"/>
      <c r="G1331" s="33"/>
    </row>
    <row r="1332" spans="1:7" ht="15.75">
      <c r="A1332" s="33"/>
      <c r="B1332" s="33"/>
      <c r="G1332" s="33"/>
    </row>
    <row r="1333" spans="1:7" ht="15.75">
      <c r="A1333" s="33"/>
      <c r="B1333" s="33"/>
      <c r="G1333" s="33"/>
    </row>
    <row r="1334" spans="1:7" ht="15.75">
      <c r="A1334" s="33"/>
      <c r="B1334" s="33"/>
      <c r="G1334" s="33"/>
    </row>
    <row r="1335" spans="1:7" ht="15.75">
      <c r="A1335" s="33"/>
      <c r="B1335" s="33"/>
      <c r="G1335" s="33"/>
    </row>
    <row r="1336" spans="1:7" ht="15.75">
      <c r="A1336" s="33"/>
      <c r="B1336" s="33"/>
      <c r="G1336" s="33"/>
    </row>
    <row r="1337" spans="1:7" ht="15.75">
      <c r="A1337" s="33"/>
      <c r="B1337" s="33"/>
      <c r="G1337" s="33"/>
    </row>
    <row r="1338" spans="1:7" ht="15.75">
      <c r="A1338" s="33"/>
      <c r="B1338" s="33"/>
      <c r="G1338" s="33"/>
    </row>
    <row r="1339" spans="1:7" ht="15.75">
      <c r="A1339" s="33"/>
      <c r="B1339" s="33"/>
      <c r="G1339" s="33"/>
    </row>
    <row r="1340" spans="1:7" ht="15.75">
      <c r="A1340" s="33"/>
      <c r="B1340" s="33"/>
      <c r="G1340" s="33"/>
    </row>
    <row r="1341" spans="1:7" ht="15.75">
      <c r="A1341" s="33"/>
      <c r="B1341" s="33"/>
      <c r="G1341" s="33"/>
    </row>
    <row r="1342" spans="1:7" ht="15.75">
      <c r="A1342" s="33"/>
      <c r="B1342" s="33"/>
      <c r="G1342" s="33"/>
    </row>
    <row r="1343" spans="1:7" ht="15.75">
      <c r="A1343" s="33"/>
      <c r="B1343" s="33"/>
      <c r="G1343" s="33"/>
    </row>
    <row r="1344" spans="1:7" ht="15.75">
      <c r="A1344" s="33"/>
      <c r="B1344" s="33"/>
      <c r="G1344" s="33"/>
    </row>
    <row r="1345" spans="1:7" ht="15.75">
      <c r="A1345" s="33"/>
      <c r="B1345" s="33"/>
      <c r="G1345" s="33"/>
    </row>
    <row r="1346" spans="1:7" ht="15.75">
      <c r="A1346" s="33"/>
      <c r="B1346" s="33"/>
      <c r="G1346" s="33"/>
    </row>
    <row r="1347" spans="1:7" ht="15.75">
      <c r="A1347" s="33"/>
      <c r="B1347" s="33"/>
      <c r="G1347" s="33"/>
    </row>
    <row r="1348" spans="1:7" ht="15.75">
      <c r="A1348" s="33"/>
      <c r="B1348" s="33"/>
      <c r="G1348" s="33"/>
    </row>
    <row r="1349" spans="1:7" ht="15.75">
      <c r="A1349" s="33"/>
      <c r="B1349" s="33"/>
      <c r="G1349" s="33"/>
    </row>
    <row r="1350" spans="1:7" ht="15.75">
      <c r="A1350" s="33"/>
      <c r="B1350" s="33"/>
      <c r="G1350" s="33"/>
    </row>
    <row r="1351" spans="1:7" ht="15.75">
      <c r="A1351" s="33"/>
      <c r="B1351" s="33"/>
      <c r="G1351" s="33"/>
    </row>
    <row r="1352" spans="1:7" ht="15.75">
      <c r="A1352" s="33"/>
      <c r="B1352" s="33"/>
      <c r="G1352" s="33"/>
    </row>
    <row r="1353" spans="1:7" ht="15.75">
      <c r="A1353" s="33"/>
      <c r="B1353" s="33"/>
      <c r="G1353" s="33"/>
    </row>
    <row r="1354" spans="1:7" ht="15.75">
      <c r="A1354" s="33"/>
      <c r="B1354" s="33"/>
      <c r="G1354" s="33"/>
    </row>
    <row r="1355" spans="1:7" ht="15.75">
      <c r="A1355" s="33"/>
      <c r="B1355" s="33"/>
      <c r="G1355" s="33"/>
    </row>
    <row r="1356" spans="1:7" ht="15.75">
      <c r="A1356" s="33"/>
      <c r="B1356" s="33"/>
      <c r="G1356" s="33"/>
    </row>
    <row r="1357" spans="1:7" ht="15.75">
      <c r="A1357" s="33"/>
      <c r="B1357" s="33"/>
      <c r="G1357" s="33"/>
    </row>
    <row r="1358" spans="1:7" ht="15.75">
      <c r="A1358" s="33"/>
      <c r="B1358" s="33"/>
      <c r="G1358" s="33"/>
    </row>
    <row r="1359" spans="1:7" ht="15.75">
      <c r="A1359" s="33"/>
      <c r="B1359" s="33"/>
      <c r="G1359" s="33"/>
    </row>
    <row r="1360" spans="1:7" ht="15.75">
      <c r="A1360" s="33"/>
      <c r="B1360" s="33"/>
      <c r="G1360" s="33"/>
    </row>
    <row r="1361" spans="1:7" ht="15.75">
      <c r="A1361" s="33"/>
      <c r="B1361" s="33"/>
      <c r="G1361" s="33"/>
    </row>
    <row r="1362" spans="1:7" ht="15.75">
      <c r="A1362" s="33"/>
      <c r="B1362" s="33"/>
      <c r="G1362" s="33"/>
    </row>
    <row r="1363" spans="1:7" ht="15.75">
      <c r="A1363" s="33"/>
      <c r="B1363" s="33"/>
      <c r="G1363" s="33"/>
    </row>
    <row r="1364" spans="1:7" ht="15.75">
      <c r="A1364" s="33"/>
      <c r="B1364" s="33"/>
      <c r="G1364" s="33"/>
    </row>
    <row r="1365" spans="1:7" ht="15.75">
      <c r="A1365" s="33"/>
      <c r="B1365" s="33"/>
      <c r="G1365" s="33"/>
    </row>
    <row r="1366" spans="1:7" ht="15.75">
      <c r="A1366" s="33"/>
      <c r="B1366" s="33"/>
      <c r="G1366" s="33"/>
    </row>
    <row r="1367" spans="1:7" ht="15.75">
      <c r="A1367" s="33"/>
      <c r="B1367" s="33"/>
      <c r="G1367" s="33"/>
    </row>
    <row r="1368" spans="1:7" ht="15.75">
      <c r="A1368" s="33"/>
      <c r="B1368" s="33"/>
      <c r="G1368" s="33"/>
    </row>
    <row r="1369" spans="1:7" ht="15.75">
      <c r="A1369" s="33"/>
      <c r="B1369" s="33"/>
      <c r="G1369" s="33"/>
    </row>
    <row r="1370" spans="1:7" ht="15.75">
      <c r="A1370" s="33"/>
      <c r="B1370" s="33"/>
      <c r="G1370" s="33"/>
    </row>
    <row r="1371" spans="1:7" ht="15.75">
      <c r="A1371" s="33"/>
      <c r="B1371" s="33"/>
      <c r="G1371" s="33"/>
    </row>
    <row r="1372" spans="1:7" ht="15.75">
      <c r="A1372" s="33"/>
      <c r="B1372" s="33"/>
      <c r="G1372" s="33"/>
    </row>
    <row r="1373" spans="1:7" ht="15.75">
      <c r="A1373" s="33"/>
      <c r="B1373" s="33"/>
      <c r="G1373" s="33"/>
    </row>
    <row r="1374" spans="1:7" ht="15.75">
      <c r="A1374" s="33"/>
      <c r="B1374" s="33"/>
      <c r="G1374" s="33"/>
    </row>
    <row r="1375" spans="1:7" ht="15.75">
      <c r="A1375" s="33"/>
      <c r="B1375" s="33"/>
      <c r="G1375" s="33"/>
    </row>
    <row r="1376" spans="1:7" ht="15.75">
      <c r="A1376" s="33"/>
      <c r="B1376" s="33"/>
      <c r="G1376" s="33"/>
    </row>
    <row r="1377" spans="1:7" ht="15.75">
      <c r="A1377" s="33"/>
      <c r="B1377" s="33"/>
      <c r="G1377" s="33"/>
    </row>
    <row r="1378" spans="1:7" ht="15.75">
      <c r="A1378" s="33"/>
      <c r="B1378" s="33"/>
      <c r="G1378" s="33"/>
    </row>
    <row r="1379" spans="1:7" ht="15.75">
      <c r="A1379" s="33"/>
      <c r="B1379" s="33"/>
      <c r="G1379" s="33"/>
    </row>
    <row r="1380" spans="1:7" ht="15.75">
      <c r="A1380" s="33"/>
      <c r="B1380" s="33"/>
      <c r="G1380" s="33"/>
    </row>
    <row r="1381" spans="1:7" ht="15.75">
      <c r="A1381" s="33"/>
      <c r="B1381" s="33"/>
      <c r="G1381" s="33"/>
    </row>
    <row r="1382" spans="1:7" ht="15.75">
      <c r="A1382" s="33"/>
      <c r="B1382" s="33"/>
      <c r="G1382" s="33"/>
    </row>
    <row r="1383" spans="1:7" ht="15.75">
      <c r="A1383" s="33"/>
      <c r="B1383" s="33"/>
      <c r="G1383" s="33"/>
    </row>
    <row r="1384" spans="1:7" ht="15.75">
      <c r="A1384" s="33"/>
      <c r="B1384" s="33"/>
      <c r="G1384" s="33"/>
    </row>
    <row r="1385" spans="1:7" ht="15.75">
      <c r="A1385" s="33"/>
      <c r="B1385" s="33"/>
      <c r="G1385" s="33"/>
    </row>
    <row r="1386" spans="1:7" ht="15.75">
      <c r="A1386" s="33"/>
      <c r="B1386" s="33"/>
      <c r="G1386" s="33"/>
    </row>
    <row r="1387" spans="1:7" ht="15.75">
      <c r="A1387" s="33"/>
      <c r="B1387" s="33"/>
      <c r="G1387" s="33"/>
    </row>
    <row r="1388" spans="1:7" ht="15.75">
      <c r="A1388" s="33"/>
      <c r="B1388" s="33"/>
      <c r="G1388" s="33"/>
    </row>
    <row r="1389" spans="1:7" ht="15.75">
      <c r="A1389" s="33"/>
      <c r="B1389" s="33"/>
      <c r="G1389" s="33"/>
    </row>
    <row r="1390" spans="1:7" ht="15.75">
      <c r="A1390" s="33"/>
      <c r="B1390" s="33"/>
      <c r="G1390" s="33"/>
    </row>
    <row r="1391" spans="1:7" ht="15.75">
      <c r="A1391" s="33"/>
      <c r="B1391" s="33"/>
      <c r="G1391" s="33"/>
    </row>
    <row r="1392" spans="1:7" ht="15.75">
      <c r="A1392" s="33"/>
      <c r="B1392" s="33"/>
      <c r="G1392" s="33"/>
    </row>
    <row r="1393" spans="1:7" ht="15.75">
      <c r="A1393" s="33"/>
      <c r="B1393" s="33"/>
      <c r="G1393" s="33"/>
    </row>
    <row r="1394" spans="1:7" ht="15.75">
      <c r="A1394" s="33"/>
      <c r="B1394" s="33"/>
      <c r="G1394" s="33"/>
    </row>
    <row r="1395" spans="1:7" ht="15.75">
      <c r="A1395" s="33"/>
      <c r="B1395" s="33"/>
      <c r="G1395" s="33"/>
    </row>
    <row r="1396" spans="1:7" ht="15.75">
      <c r="A1396" s="33"/>
      <c r="B1396" s="33"/>
      <c r="G1396" s="33"/>
    </row>
    <row r="1397" spans="1:7" ht="15.75">
      <c r="A1397" s="33"/>
      <c r="B1397" s="33"/>
      <c r="G1397" s="33"/>
    </row>
    <row r="1398" spans="1:7" ht="15.75">
      <c r="A1398" s="33"/>
      <c r="B1398" s="33"/>
      <c r="G1398" s="33"/>
    </row>
    <row r="1399" spans="1:7" ht="15.75">
      <c r="A1399" s="33"/>
      <c r="B1399" s="33"/>
      <c r="G1399" s="33"/>
    </row>
    <row r="1400" spans="1:7" ht="15.75">
      <c r="A1400" s="33"/>
      <c r="B1400" s="33"/>
      <c r="G1400" s="33"/>
    </row>
    <row r="1401" spans="1:7" ht="15.75">
      <c r="A1401" s="33"/>
      <c r="B1401" s="33"/>
      <c r="G1401" s="33"/>
    </row>
    <row r="1402" spans="1:7" ht="15.75">
      <c r="A1402" s="33"/>
      <c r="B1402" s="33"/>
      <c r="G1402" s="33"/>
    </row>
    <row r="1403" spans="1:7" ht="15.75">
      <c r="A1403" s="33"/>
      <c r="B1403" s="33"/>
      <c r="G1403" s="33"/>
    </row>
    <row r="1404" spans="1:7" ht="15.75">
      <c r="A1404" s="33"/>
      <c r="B1404" s="33"/>
      <c r="G1404" s="33"/>
    </row>
    <row r="1405" spans="1:7" ht="15.75">
      <c r="A1405" s="33"/>
      <c r="B1405" s="33"/>
      <c r="G1405" s="33"/>
    </row>
    <row r="1406" spans="1:7" ht="15.75">
      <c r="A1406" s="33"/>
      <c r="B1406" s="33"/>
      <c r="G1406" s="33"/>
    </row>
    <row r="1407" spans="1:7" ht="15.75">
      <c r="A1407" s="33"/>
      <c r="B1407" s="33"/>
      <c r="G1407" s="33"/>
    </row>
    <row r="1408" spans="1:7" ht="15.75">
      <c r="A1408" s="33"/>
      <c r="B1408" s="33"/>
      <c r="G1408" s="33"/>
    </row>
    <row r="1409" spans="1:7" ht="15.75">
      <c r="A1409" s="33"/>
      <c r="B1409" s="33"/>
      <c r="G1409" s="33"/>
    </row>
    <row r="1410" spans="1:7" ht="15.75">
      <c r="A1410" s="33"/>
      <c r="B1410" s="33"/>
      <c r="G1410" s="33"/>
    </row>
    <row r="1411" spans="1:7" ht="15.75">
      <c r="A1411" s="33"/>
      <c r="B1411" s="33"/>
      <c r="G1411" s="33"/>
    </row>
    <row r="1412" spans="1:7" ht="15.75">
      <c r="A1412" s="33"/>
      <c r="B1412" s="33"/>
      <c r="G1412" s="33"/>
    </row>
    <row r="1413" spans="1:7" ht="15.75">
      <c r="A1413" s="33"/>
      <c r="B1413" s="33"/>
      <c r="G1413" s="33"/>
    </row>
    <row r="1414" spans="1:7" ht="15.75">
      <c r="A1414" s="33"/>
      <c r="B1414" s="33"/>
      <c r="G1414" s="33"/>
    </row>
    <row r="1415" spans="1:7" ht="15.75">
      <c r="A1415" s="33"/>
      <c r="B1415" s="33"/>
      <c r="G1415" s="33"/>
    </row>
    <row r="1416" spans="1:7" ht="15.75">
      <c r="A1416" s="33"/>
      <c r="B1416" s="33"/>
      <c r="G1416" s="33"/>
    </row>
    <row r="1417" spans="1:7" ht="15.75">
      <c r="A1417" s="33"/>
      <c r="B1417" s="33"/>
      <c r="G1417" s="33"/>
    </row>
    <row r="1418" spans="1:7" ht="15.75">
      <c r="A1418" s="33"/>
      <c r="B1418" s="33"/>
      <c r="G1418" s="33"/>
    </row>
    <row r="1419" spans="1:7" ht="15.75">
      <c r="A1419" s="33"/>
      <c r="B1419" s="33"/>
      <c r="G1419" s="33"/>
    </row>
    <row r="1420" spans="1:7" ht="15.75">
      <c r="A1420" s="33"/>
      <c r="B1420" s="33"/>
      <c r="G1420" s="33"/>
    </row>
    <row r="1421" spans="1:7" ht="15.75">
      <c r="A1421" s="33"/>
      <c r="B1421" s="33"/>
      <c r="G1421" s="33"/>
    </row>
    <row r="1422" spans="1:7" ht="15.75">
      <c r="A1422" s="33"/>
      <c r="B1422" s="33"/>
      <c r="G1422" s="33"/>
    </row>
    <row r="1423" spans="1:7" ht="15.75">
      <c r="A1423" s="33"/>
      <c r="B1423" s="33"/>
      <c r="G1423" s="33"/>
    </row>
    <row r="1424" spans="1:7" ht="15.75">
      <c r="A1424" s="33"/>
      <c r="B1424" s="33"/>
      <c r="G1424" s="33"/>
    </row>
    <row r="1425" spans="1:7" ht="15.75">
      <c r="A1425" s="33"/>
      <c r="B1425" s="33"/>
      <c r="G1425" s="33"/>
    </row>
    <row r="1426" spans="1:7" ht="15.75">
      <c r="A1426" s="33"/>
      <c r="B1426" s="33"/>
      <c r="G1426" s="33"/>
    </row>
    <row r="1427" spans="1:7" ht="15.75">
      <c r="A1427" s="33"/>
      <c r="B1427" s="33"/>
      <c r="G1427" s="33"/>
    </row>
    <row r="1428" spans="1:7" ht="15.75">
      <c r="A1428" s="33"/>
      <c r="B1428" s="33"/>
      <c r="G1428" s="33"/>
    </row>
    <row r="1429" spans="1:7" ht="15.75">
      <c r="A1429" s="33"/>
      <c r="B1429" s="33"/>
      <c r="G1429" s="33"/>
    </row>
    <row r="1430" spans="1:7" ht="15.75">
      <c r="A1430" s="33"/>
      <c r="B1430" s="33"/>
      <c r="G1430" s="33"/>
    </row>
    <row r="1431" spans="1:7" ht="15.75">
      <c r="A1431" s="33"/>
      <c r="B1431" s="33"/>
      <c r="G1431" s="33"/>
    </row>
    <row r="1432" spans="1:7" ht="15.75">
      <c r="A1432" s="33"/>
      <c r="B1432" s="33"/>
      <c r="G1432" s="33"/>
    </row>
    <row r="1433" spans="1:7" ht="15.75">
      <c r="A1433" s="33"/>
      <c r="B1433" s="33"/>
      <c r="G1433" s="33"/>
    </row>
    <row r="1434" spans="1:7" ht="15.75">
      <c r="A1434" s="33"/>
      <c r="B1434" s="33"/>
      <c r="G1434" s="33"/>
    </row>
    <row r="1435" spans="1:7" ht="15.75">
      <c r="A1435" s="33"/>
      <c r="B1435" s="33"/>
      <c r="G1435" s="33"/>
    </row>
    <row r="1436" spans="1:7" ht="15.75">
      <c r="A1436" s="33"/>
      <c r="B1436" s="33"/>
      <c r="G1436" s="33"/>
    </row>
    <row r="1437" spans="1:7" ht="15.75">
      <c r="A1437" s="33"/>
      <c r="B1437" s="33"/>
      <c r="G1437" s="33"/>
    </row>
    <row r="1438" spans="1:7" ht="15.75">
      <c r="A1438" s="33"/>
      <c r="B1438" s="33"/>
      <c r="G1438" s="33"/>
    </row>
    <row r="1439" spans="1:7" ht="15.75">
      <c r="A1439" s="33"/>
      <c r="B1439" s="33"/>
      <c r="G1439" s="33"/>
    </row>
    <row r="1440" spans="1:7" ht="15.75">
      <c r="A1440" s="33"/>
      <c r="B1440" s="33"/>
      <c r="G1440" s="33"/>
    </row>
    <row r="1441" spans="1:7" ht="15.75">
      <c r="A1441" s="33"/>
      <c r="B1441" s="33"/>
      <c r="G1441" s="33"/>
    </row>
    <row r="1442" spans="1:7" ht="15.75">
      <c r="A1442" s="33"/>
      <c r="B1442" s="33"/>
      <c r="G1442" s="33"/>
    </row>
    <row r="1443" spans="1:7" ht="15.75">
      <c r="A1443" s="33"/>
      <c r="B1443" s="33"/>
      <c r="G1443" s="33"/>
    </row>
    <row r="1444" spans="1:7" ht="15.75">
      <c r="A1444" s="33"/>
      <c r="B1444" s="33"/>
      <c r="G1444" s="33"/>
    </row>
    <row r="1445" spans="1:7" ht="15.75">
      <c r="A1445" s="33"/>
      <c r="B1445" s="33"/>
      <c r="G1445" s="33"/>
    </row>
    <row r="1446" spans="1:7" ht="15.75">
      <c r="A1446" s="33"/>
      <c r="B1446" s="33"/>
      <c r="G1446" s="33"/>
    </row>
    <row r="1447" spans="1:7" ht="15.75">
      <c r="A1447" s="33"/>
      <c r="B1447" s="33"/>
      <c r="G1447" s="33"/>
    </row>
    <row r="1448" spans="1:7" ht="15.75">
      <c r="A1448" s="33"/>
      <c r="B1448" s="33"/>
      <c r="G1448" s="33"/>
    </row>
    <row r="1449" spans="1:7" ht="15.75">
      <c r="A1449" s="33"/>
      <c r="B1449" s="33"/>
      <c r="G1449" s="33"/>
    </row>
    <row r="1450" spans="1:7" ht="15.75">
      <c r="A1450" s="33"/>
      <c r="B1450" s="33"/>
      <c r="G1450" s="33"/>
    </row>
    <row r="1451" spans="1:7" ht="15.75">
      <c r="A1451" s="33"/>
      <c r="B1451" s="33"/>
      <c r="G1451" s="33"/>
    </row>
    <row r="1452" spans="1:7" ht="15.75">
      <c r="A1452" s="33"/>
      <c r="B1452" s="33"/>
      <c r="G1452" s="33"/>
    </row>
    <row r="1453" spans="1:7" ht="15.75">
      <c r="A1453" s="33"/>
      <c r="B1453" s="33"/>
      <c r="G1453" s="33"/>
    </row>
    <row r="1454" spans="1:7" ht="15.75">
      <c r="A1454" s="33"/>
      <c r="B1454" s="33"/>
      <c r="G1454" s="33"/>
    </row>
    <row r="1455" spans="1:7" ht="15.75">
      <c r="A1455" s="33"/>
      <c r="B1455" s="33"/>
      <c r="G1455" s="33"/>
    </row>
    <row r="1456" spans="1:7" ht="15.75">
      <c r="A1456" s="33"/>
      <c r="B1456" s="33"/>
      <c r="G1456" s="33"/>
    </row>
    <row r="1457" spans="1:7" ht="15.75">
      <c r="A1457" s="33"/>
      <c r="B1457" s="33"/>
      <c r="G1457" s="33"/>
    </row>
    <row r="1458" spans="1:7" ht="15.75">
      <c r="A1458" s="33"/>
      <c r="B1458" s="33"/>
      <c r="G1458" s="33"/>
    </row>
    <row r="1459" spans="1:7" ht="15.75">
      <c r="A1459" s="33"/>
      <c r="B1459" s="33"/>
      <c r="G1459" s="33"/>
    </row>
    <row r="1460" spans="1:7" ht="15.75">
      <c r="A1460" s="33"/>
      <c r="B1460" s="33"/>
      <c r="G1460" s="33"/>
    </row>
    <row r="1461" spans="1:7" ht="15.75">
      <c r="A1461" s="33"/>
      <c r="B1461" s="33"/>
      <c r="G1461" s="33"/>
    </row>
    <row r="1462" spans="1:7" ht="15.75">
      <c r="A1462" s="33"/>
      <c r="B1462" s="33"/>
      <c r="G1462" s="33"/>
    </row>
    <row r="1463" spans="1:7" ht="15.75">
      <c r="A1463" s="33"/>
      <c r="B1463" s="33"/>
      <c r="G1463" s="33"/>
    </row>
    <row r="1464" spans="1:7" ht="15.75">
      <c r="A1464" s="33"/>
      <c r="B1464" s="33"/>
      <c r="G1464" s="33"/>
    </row>
    <row r="1465" spans="1:7" ht="15.75">
      <c r="A1465" s="33"/>
      <c r="B1465" s="33"/>
      <c r="G1465" s="33"/>
    </row>
    <row r="1466" spans="1:7" ht="15.75">
      <c r="A1466" s="33"/>
      <c r="B1466" s="33"/>
      <c r="G1466" s="33"/>
    </row>
    <row r="1467" spans="1:7" ht="15.75">
      <c r="A1467" s="33"/>
      <c r="B1467" s="33"/>
      <c r="G1467" s="33"/>
    </row>
    <row r="1468" spans="1:7" ht="15.75">
      <c r="A1468" s="33"/>
      <c r="B1468" s="33"/>
      <c r="G1468" s="33"/>
    </row>
    <row r="1469" spans="1:7" ht="15.75">
      <c r="A1469" s="33"/>
      <c r="B1469" s="33"/>
      <c r="G1469" s="33"/>
    </row>
    <row r="1470" spans="1:7" ht="15.75">
      <c r="A1470" s="33"/>
      <c r="B1470" s="33"/>
      <c r="G1470" s="33"/>
    </row>
    <row r="1471" spans="1:7" ht="15.75">
      <c r="A1471" s="33"/>
      <c r="B1471" s="33"/>
      <c r="G1471" s="33"/>
    </row>
    <row r="1472" spans="1:7" ht="15.75">
      <c r="A1472" s="33"/>
      <c r="B1472" s="33"/>
      <c r="G1472" s="33"/>
    </row>
    <row r="1473" spans="1:7" ht="15.75">
      <c r="A1473" s="33"/>
      <c r="B1473" s="33"/>
      <c r="G1473" s="33"/>
    </row>
    <row r="1474" spans="1:7" ht="15.75">
      <c r="A1474" s="33"/>
      <c r="B1474" s="33"/>
      <c r="G1474" s="33"/>
    </row>
    <row r="1475" spans="1:7" ht="15.75">
      <c r="A1475" s="33"/>
      <c r="B1475" s="33"/>
      <c r="G1475" s="33"/>
    </row>
    <row r="1476" spans="1:7" ht="15.75">
      <c r="A1476" s="33"/>
      <c r="B1476" s="33"/>
      <c r="G1476" s="33"/>
    </row>
    <row r="1477" spans="1:7" ht="15.75">
      <c r="A1477" s="33"/>
      <c r="B1477" s="33"/>
      <c r="G1477" s="33"/>
    </row>
    <row r="1478" spans="1:7" ht="15.75">
      <c r="A1478" s="33"/>
      <c r="B1478" s="33"/>
      <c r="G1478" s="33"/>
    </row>
    <row r="1479" spans="1:7" ht="15.75">
      <c r="A1479" s="33"/>
      <c r="B1479" s="33"/>
      <c r="G1479" s="33"/>
    </row>
    <row r="1480" spans="1:7" ht="15.75">
      <c r="A1480" s="33"/>
      <c r="B1480" s="33"/>
      <c r="G1480" s="33"/>
    </row>
    <row r="1481" spans="1:7" ht="15.75">
      <c r="A1481" s="33"/>
      <c r="B1481" s="33"/>
      <c r="G1481" s="33"/>
    </row>
    <row r="1482" spans="1:7" ht="15.75">
      <c r="A1482" s="33"/>
      <c r="B1482" s="33"/>
      <c r="G1482" s="33"/>
    </row>
    <row r="1483" spans="1:7" ht="15.75">
      <c r="A1483" s="33"/>
      <c r="B1483" s="33"/>
      <c r="G1483" s="33"/>
    </row>
    <row r="1484" spans="1:7" ht="15.75">
      <c r="A1484" s="33"/>
      <c r="B1484" s="33"/>
      <c r="G1484" s="33"/>
    </row>
    <row r="1485" spans="1:7" ht="15.75">
      <c r="A1485" s="33"/>
      <c r="B1485" s="33"/>
      <c r="G1485" s="33"/>
    </row>
    <row r="1486" spans="1:7" ht="15.75">
      <c r="A1486" s="33"/>
      <c r="B1486" s="33"/>
      <c r="G1486" s="33"/>
    </row>
    <row r="1487" spans="1:7" ht="15.75">
      <c r="A1487" s="33"/>
      <c r="B1487" s="33"/>
      <c r="G1487" s="33"/>
    </row>
    <row r="1488" spans="1:7" ht="15.75">
      <c r="A1488" s="33"/>
      <c r="B1488" s="33"/>
      <c r="G1488" s="33"/>
    </row>
    <row r="1489" spans="1:7" ht="15.75">
      <c r="A1489" s="33"/>
      <c r="B1489" s="33"/>
      <c r="G1489" s="33"/>
    </row>
    <row r="1490" spans="1:7" ht="15.75">
      <c r="A1490" s="33"/>
      <c r="B1490" s="33"/>
      <c r="G1490" s="33"/>
    </row>
    <row r="1491" spans="1:7" ht="15.75">
      <c r="A1491" s="33"/>
      <c r="B1491" s="33"/>
      <c r="G1491" s="33"/>
    </row>
    <row r="1492" spans="1:7" ht="15.75">
      <c r="A1492" s="33"/>
      <c r="B1492" s="33"/>
      <c r="G1492" s="33"/>
    </row>
    <row r="1493" spans="1:7" ht="15.75">
      <c r="A1493" s="33"/>
      <c r="B1493" s="33"/>
      <c r="G1493" s="33"/>
    </row>
    <row r="1494" spans="1:7" ht="15.75">
      <c r="A1494" s="33"/>
      <c r="B1494" s="33"/>
      <c r="G1494" s="33"/>
    </row>
    <row r="1495" spans="1:7" ht="15.75">
      <c r="A1495" s="33"/>
      <c r="B1495" s="33"/>
      <c r="G1495" s="33"/>
    </row>
    <row r="1496" spans="1:7" ht="15.75">
      <c r="A1496" s="33"/>
      <c r="B1496" s="33"/>
      <c r="G1496" s="33"/>
    </row>
    <row r="1497" spans="1:7" ht="15.75">
      <c r="A1497" s="33"/>
      <c r="B1497" s="33"/>
      <c r="G1497" s="33"/>
    </row>
    <row r="1498" spans="1:7" ht="15.75">
      <c r="A1498" s="33"/>
      <c r="B1498" s="33"/>
      <c r="G1498" s="33"/>
    </row>
    <row r="1499" spans="1:7" ht="15.75">
      <c r="A1499" s="33"/>
      <c r="B1499" s="33"/>
      <c r="G1499" s="33"/>
    </row>
    <row r="1500" spans="1:7" ht="15.75">
      <c r="A1500" s="33"/>
      <c r="B1500" s="33"/>
      <c r="G1500" s="33"/>
    </row>
    <row r="1501" spans="1:7" ht="15.75">
      <c r="A1501" s="33"/>
      <c r="B1501" s="33"/>
      <c r="G1501" s="33"/>
    </row>
    <row r="1502" spans="1:7" ht="15.75">
      <c r="A1502" s="33"/>
      <c r="B1502" s="33"/>
      <c r="G1502" s="33"/>
    </row>
    <row r="1503" spans="1:7" ht="15.75">
      <c r="A1503" s="33"/>
      <c r="B1503" s="33"/>
      <c r="G1503" s="33"/>
    </row>
    <row r="1504" spans="1:7" ht="15.75">
      <c r="A1504" s="33"/>
      <c r="B1504" s="33"/>
      <c r="G1504" s="33"/>
    </row>
    <row r="1505" spans="1:7" ht="15.75">
      <c r="A1505" s="33"/>
      <c r="B1505" s="33"/>
      <c r="G1505" s="33"/>
    </row>
    <row r="1506" spans="1:7" ht="15.75">
      <c r="A1506" s="33"/>
      <c r="B1506" s="33"/>
      <c r="G1506" s="33"/>
    </row>
    <row r="1507" spans="1:7" ht="15.75">
      <c r="A1507" s="33"/>
      <c r="B1507" s="33"/>
      <c r="G1507" s="33"/>
    </row>
    <row r="1508" spans="1:7" ht="15.75">
      <c r="A1508" s="33"/>
      <c r="B1508" s="33"/>
      <c r="G1508" s="33"/>
    </row>
    <row r="1509" spans="1:7" ht="15.75">
      <c r="A1509" s="33"/>
      <c r="B1509" s="33"/>
      <c r="G1509" s="33"/>
    </row>
    <row r="1510" spans="1:7" ht="15.75">
      <c r="A1510" s="33"/>
      <c r="B1510" s="33"/>
      <c r="G1510" s="33"/>
    </row>
    <row r="1511" spans="1:7" ht="15.75">
      <c r="A1511" s="33"/>
      <c r="B1511" s="33"/>
      <c r="G1511" s="33"/>
    </row>
    <row r="1512" spans="1:7" ht="15.75">
      <c r="A1512" s="33"/>
      <c r="B1512" s="33"/>
      <c r="G1512" s="33"/>
    </row>
    <row r="1513" spans="1:7" ht="15.75">
      <c r="A1513" s="33"/>
      <c r="B1513" s="33"/>
      <c r="G1513" s="33"/>
    </row>
    <row r="1514" spans="1:7" ht="15.75">
      <c r="A1514" s="33"/>
      <c r="B1514" s="33"/>
      <c r="G1514" s="33"/>
    </row>
    <row r="1515" spans="1:7" ht="15.75">
      <c r="A1515" s="33"/>
      <c r="B1515" s="33"/>
      <c r="G1515" s="33"/>
    </row>
    <row r="1516" spans="1:7" ht="15.75">
      <c r="A1516" s="33"/>
      <c r="B1516" s="33"/>
      <c r="G1516" s="33"/>
    </row>
    <row r="1517" spans="1:7" ht="15.75">
      <c r="A1517" s="33"/>
      <c r="B1517" s="33"/>
      <c r="G1517" s="33"/>
    </row>
    <row r="1518" spans="1:7" ht="15.75">
      <c r="A1518" s="33"/>
      <c r="B1518" s="33"/>
      <c r="G1518" s="33"/>
    </row>
    <row r="1519" spans="1:7" ht="15.75">
      <c r="A1519" s="33"/>
      <c r="B1519" s="33"/>
      <c r="G1519" s="33"/>
    </row>
    <row r="1520" spans="1:7" ht="15.75">
      <c r="A1520" s="33"/>
      <c r="B1520" s="33"/>
      <c r="G1520" s="33"/>
    </row>
    <row r="1521" spans="1:7" ht="15.75">
      <c r="A1521" s="33"/>
      <c r="B1521" s="33"/>
      <c r="G1521" s="33"/>
    </row>
    <row r="1522" spans="1:7" ht="15.75">
      <c r="A1522" s="33"/>
      <c r="B1522" s="33"/>
      <c r="G1522" s="33"/>
    </row>
    <row r="1523" spans="1:7" ht="15.75">
      <c r="A1523" s="33"/>
      <c r="B1523" s="33"/>
      <c r="G1523" s="33"/>
    </row>
    <row r="1524" spans="1:7" ht="15.75">
      <c r="A1524" s="33"/>
      <c r="B1524" s="33"/>
      <c r="G1524" s="33"/>
    </row>
    <row r="1525" spans="1:7" ht="15.75">
      <c r="A1525" s="33"/>
      <c r="B1525" s="33"/>
      <c r="G1525" s="33"/>
    </row>
    <row r="1526" spans="1:7" ht="15.75">
      <c r="A1526" s="33"/>
      <c r="B1526" s="33"/>
      <c r="G1526" s="33"/>
    </row>
    <row r="1527" spans="1:7" ht="15.75">
      <c r="A1527" s="33"/>
      <c r="B1527" s="33"/>
      <c r="G1527" s="33"/>
    </row>
    <row r="1528" spans="1:7" ht="15.75">
      <c r="A1528" s="33"/>
      <c r="B1528" s="33"/>
      <c r="G1528" s="33"/>
    </row>
    <row r="1529" spans="1:7" ht="15.75">
      <c r="A1529" s="33"/>
      <c r="B1529" s="33"/>
      <c r="G1529" s="33"/>
    </row>
    <row r="1530" spans="1:7" ht="15.75">
      <c r="A1530" s="33"/>
      <c r="B1530" s="33"/>
      <c r="G1530" s="33"/>
    </row>
    <row r="1531" spans="1:7" ht="15.75">
      <c r="A1531" s="33"/>
      <c r="B1531" s="33"/>
      <c r="G1531" s="33"/>
    </row>
    <row r="1532" spans="1:7" ht="15.75">
      <c r="A1532" s="33"/>
      <c r="B1532" s="33"/>
      <c r="G1532" s="33"/>
    </row>
    <row r="1533" spans="1:7" ht="15.75">
      <c r="A1533" s="33"/>
      <c r="B1533" s="33"/>
      <c r="G1533" s="33"/>
    </row>
    <row r="1534" spans="1:7" ht="15.75">
      <c r="A1534" s="33"/>
      <c r="B1534" s="33"/>
      <c r="G1534" s="33"/>
    </row>
    <row r="1535" spans="1:7" ht="15.75">
      <c r="A1535" s="33"/>
      <c r="B1535" s="33"/>
      <c r="G1535" s="33"/>
    </row>
    <row r="1536" spans="1:7" ht="15.75">
      <c r="A1536" s="33"/>
      <c r="B1536" s="33"/>
      <c r="G1536" s="33"/>
    </row>
    <row r="1537" spans="1:7" ht="15.75">
      <c r="A1537" s="33"/>
      <c r="B1537" s="33"/>
      <c r="G1537" s="33"/>
    </row>
    <row r="1538" spans="1:7" ht="15.75">
      <c r="A1538" s="33"/>
      <c r="B1538" s="33"/>
      <c r="G1538" s="33"/>
    </row>
    <row r="1539" spans="1:7" ht="15.75">
      <c r="A1539" s="33"/>
      <c r="B1539" s="33"/>
      <c r="G1539" s="33"/>
    </row>
    <row r="1540" spans="1:7" ht="15.75">
      <c r="A1540" s="33"/>
      <c r="B1540" s="33"/>
      <c r="G1540" s="33"/>
    </row>
    <row r="1541" spans="1:7" ht="15.75">
      <c r="A1541" s="33"/>
      <c r="B1541" s="33"/>
      <c r="G1541" s="33"/>
    </row>
    <row r="1542" spans="1:7" ht="15.75">
      <c r="A1542" s="33"/>
      <c r="B1542" s="33"/>
      <c r="G1542" s="33"/>
    </row>
    <row r="1543" spans="1:7" ht="15.75">
      <c r="A1543" s="33"/>
      <c r="B1543" s="33"/>
      <c r="G1543" s="33"/>
    </row>
    <row r="1544" spans="1:7" ht="15.75">
      <c r="A1544" s="33"/>
      <c r="B1544" s="33"/>
      <c r="G1544" s="33"/>
    </row>
    <row r="1545" spans="1:7" ht="15.75">
      <c r="A1545" s="33"/>
      <c r="B1545" s="33"/>
      <c r="G1545" s="33"/>
    </row>
    <row r="1546" spans="1:7" ht="15.75">
      <c r="A1546" s="33"/>
      <c r="B1546" s="33"/>
      <c r="G1546" s="33"/>
    </row>
    <row r="1547" spans="1:7" ht="15.75">
      <c r="A1547" s="33"/>
      <c r="B1547" s="33"/>
      <c r="G1547" s="33"/>
    </row>
    <row r="1548" spans="1:7" ht="15.75">
      <c r="A1548" s="33"/>
      <c r="B1548" s="33"/>
      <c r="G1548" s="33"/>
    </row>
    <row r="1549" spans="1:7" ht="15.75">
      <c r="A1549" s="33"/>
      <c r="B1549" s="33"/>
      <c r="G1549" s="33"/>
    </row>
    <row r="1550" spans="1:7" ht="15.75">
      <c r="A1550" s="33"/>
      <c r="B1550" s="33"/>
      <c r="G1550" s="33"/>
    </row>
    <row r="1551" spans="1:7" ht="15.75">
      <c r="A1551" s="33"/>
      <c r="B1551" s="33"/>
      <c r="G1551" s="33"/>
    </row>
    <row r="1552" spans="1:7" ht="15.75">
      <c r="A1552" s="33"/>
      <c r="B1552" s="33"/>
      <c r="G1552" s="33"/>
    </row>
    <row r="1553" spans="1:7" ht="15.75">
      <c r="A1553" s="33"/>
      <c r="B1553" s="33"/>
      <c r="G1553" s="33"/>
    </row>
    <row r="1554" spans="1:7" ht="15.75">
      <c r="A1554" s="33"/>
      <c r="B1554" s="33"/>
      <c r="G1554" s="33"/>
    </row>
    <row r="1555" spans="1:7" ht="15.75">
      <c r="A1555" s="33"/>
      <c r="B1555" s="33"/>
      <c r="G1555" s="33"/>
    </row>
    <row r="1556" spans="1:7" ht="15.75">
      <c r="A1556" s="33"/>
      <c r="B1556" s="33"/>
      <c r="G1556" s="33"/>
    </row>
    <row r="1557" spans="1:7" ht="15.75">
      <c r="A1557" s="33"/>
      <c r="B1557" s="33"/>
      <c r="G1557" s="33"/>
    </row>
    <row r="1558" spans="1:7" ht="15.75">
      <c r="A1558" s="33"/>
      <c r="B1558" s="33"/>
      <c r="G1558" s="33"/>
    </row>
    <row r="1559" spans="1:7" ht="15.75">
      <c r="A1559" s="33"/>
      <c r="B1559" s="33"/>
      <c r="G1559" s="33"/>
    </row>
    <row r="1560" spans="1:7" ht="15.75">
      <c r="A1560" s="33"/>
      <c r="B1560" s="33"/>
      <c r="G1560" s="33"/>
    </row>
    <row r="1561" spans="1:7" ht="15.75">
      <c r="A1561" s="33"/>
      <c r="B1561" s="33"/>
      <c r="G1561" s="33"/>
    </row>
    <row r="1562" spans="1:7" ht="15.75">
      <c r="A1562" s="33"/>
      <c r="B1562" s="33"/>
      <c r="G1562" s="33"/>
    </row>
    <row r="1563" spans="1:7" ht="15.75">
      <c r="A1563" s="33"/>
      <c r="B1563" s="33"/>
      <c r="G1563" s="33"/>
    </row>
    <row r="1564" spans="1:7" ht="15.75">
      <c r="A1564" s="33"/>
      <c r="B1564" s="33"/>
      <c r="G1564" s="33"/>
    </row>
    <row r="1565" spans="1:7" ht="15.75">
      <c r="A1565" s="33"/>
      <c r="B1565" s="33"/>
      <c r="G1565" s="33"/>
    </row>
    <row r="1566" spans="1:7" ht="15.75">
      <c r="A1566" s="33"/>
      <c r="B1566" s="33"/>
      <c r="G1566" s="33"/>
    </row>
    <row r="1567" spans="1:7" ht="15.75">
      <c r="A1567" s="33"/>
      <c r="B1567" s="33"/>
      <c r="G1567" s="33"/>
    </row>
    <row r="1568" spans="1:7" ht="15.75">
      <c r="A1568" s="33"/>
      <c r="B1568" s="33"/>
      <c r="G1568" s="33"/>
    </row>
    <row r="1569" spans="1:7" ht="15.75">
      <c r="A1569" s="33"/>
      <c r="B1569" s="33"/>
      <c r="G1569" s="33"/>
    </row>
    <row r="1570" spans="1:7" ht="15.75">
      <c r="A1570" s="33"/>
      <c r="B1570" s="33"/>
      <c r="G1570" s="33"/>
    </row>
    <row r="1571" spans="1:7" ht="15.75">
      <c r="A1571" s="33"/>
      <c r="B1571" s="33"/>
      <c r="G1571" s="33"/>
    </row>
    <row r="1572" spans="1:7" ht="15.75">
      <c r="A1572" s="33"/>
      <c r="B1572" s="33"/>
      <c r="G1572" s="33"/>
    </row>
    <row r="1573" spans="1:7" ht="15.75">
      <c r="A1573" s="33"/>
      <c r="B1573" s="33"/>
      <c r="G1573" s="33"/>
    </row>
    <row r="1574" spans="1:7" ht="15.75">
      <c r="A1574" s="33"/>
      <c r="B1574" s="33"/>
      <c r="G1574" s="33"/>
    </row>
    <row r="1575" spans="1:7" ht="15.75">
      <c r="A1575" s="33"/>
      <c r="B1575" s="33"/>
      <c r="G1575" s="33"/>
    </row>
    <row r="1576" spans="1:7" ht="15.75">
      <c r="A1576" s="33"/>
      <c r="B1576" s="33"/>
      <c r="G1576" s="33"/>
    </row>
    <row r="1577" spans="1:7" ht="15.75">
      <c r="A1577" s="33"/>
      <c r="B1577" s="33"/>
      <c r="G1577" s="33"/>
    </row>
    <row r="1578" spans="1:7" ht="15.75">
      <c r="A1578" s="33"/>
      <c r="B1578" s="33"/>
      <c r="G1578" s="33"/>
    </row>
    <row r="1579" spans="1:7" ht="15.75">
      <c r="A1579" s="33"/>
      <c r="B1579" s="33"/>
      <c r="G1579" s="33"/>
    </row>
    <row r="1580" spans="1:7" ht="15.75">
      <c r="A1580" s="33"/>
      <c r="B1580" s="33"/>
      <c r="G1580" s="33"/>
    </row>
    <row r="1581" spans="1:7" ht="15.75">
      <c r="A1581" s="33"/>
      <c r="B1581" s="33"/>
      <c r="G1581" s="33"/>
    </row>
    <row r="1582" spans="1:7" ht="15.75">
      <c r="A1582" s="33"/>
      <c r="B1582" s="33"/>
      <c r="G1582" s="33"/>
    </row>
    <row r="1583" spans="1:7" ht="15.75">
      <c r="A1583" s="33"/>
      <c r="B1583" s="33"/>
      <c r="G1583" s="33"/>
    </row>
    <row r="1584" spans="1:7" ht="15.75">
      <c r="A1584" s="33"/>
      <c r="B1584" s="33"/>
      <c r="G1584" s="33"/>
    </row>
    <row r="1585" spans="1:7" ht="15.75">
      <c r="A1585" s="33"/>
      <c r="B1585" s="33"/>
      <c r="G1585" s="33"/>
    </row>
    <row r="1586" spans="1:7" ht="15.75">
      <c r="A1586" s="33"/>
      <c r="B1586" s="33"/>
      <c r="G1586" s="33"/>
    </row>
    <row r="1587" spans="1:7" ht="15.75">
      <c r="A1587" s="33"/>
      <c r="B1587" s="33"/>
      <c r="G1587" s="33"/>
    </row>
    <row r="1588" spans="1:7" ht="15.75">
      <c r="A1588" s="33"/>
      <c r="B1588" s="33"/>
      <c r="G1588" s="33"/>
    </row>
    <row r="1589" spans="1:7" ht="15.75">
      <c r="A1589" s="33"/>
      <c r="B1589" s="33"/>
      <c r="G1589" s="33"/>
    </row>
    <row r="1590" spans="1:7" ht="15.75">
      <c r="A1590" s="33"/>
      <c r="B1590" s="33"/>
      <c r="G1590" s="33"/>
    </row>
    <row r="1591" spans="1:7" ht="15.75">
      <c r="A1591" s="33"/>
      <c r="B1591" s="33"/>
      <c r="G1591" s="33"/>
    </row>
    <row r="1592" spans="1:7" ht="15.75">
      <c r="A1592" s="33"/>
      <c r="B1592" s="33"/>
      <c r="G1592" s="33"/>
    </row>
    <row r="1593" spans="1:7" ht="15.75">
      <c r="A1593" s="33"/>
      <c r="B1593" s="33"/>
      <c r="G1593" s="33"/>
    </row>
    <row r="1594" spans="1:7" ht="15.75">
      <c r="A1594" s="33"/>
      <c r="B1594" s="33"/>
      <c r="G1594" s="33"/>
    </row>
    <row r="1595" spans="1:7" ht="15.75">
      <c r="A1595" s="33"/>
      <c r="B1595" s="33"/>
      <c r="G1595" s="33"/>
    </row>
    <row r="1596" spans="1:7" ht="15.75">
      <c r="A1596" s="33"/>
      <c r="B1596" s="33"/>
      <c r="G1596" s="33"/>
    </row>
    <row r="1597" spans="1:7" ht="15.75">
      <c r="A1597" s="33"/>
      <c r="B1597" s="33"/>
      <c r="G1597" s="33"/>
    </row>
    <row r="1598" spans="1:7" ht="15.75">
      <c r="A1598" s="33"/>
      <c r="B1598" s="33"/>
      <c r="G1598" s="33"/>
    </row>
    <row r="1599" spans="1:7" ht="15.75">
      <c r="A1599" s="33"/>
      <c r="B1599" s="33"/>
      <c r="G1599" s="33"/>
    </row>
    <row r="1600" spans="1:7" ht="15.75">
      <c r="A1600" s="33"/>
      <c r="B1600" s="33"/>
      <c r="G1600" s="33"/>
    </row>
    <row r="1601" spans="1:7" ht="15.75">
      <c r="A1601" s="33"/>
      <c r="B1601" s="33"/>
      <c r="G1601" s="33"/>
    </row>
    <row r="1602" spans="1:7" ht="15.75">
      <c r="A1602" s="33"/>
      <c r="B1602" s="33"/>
      <c r="G1602" s="33"/>
    </row>
    <row r="1603" spans="1:7" ht="15.75">
      <c r="A1603" s="33"/>
      <c r="B1603" s="33"/>
      <c r="G1603" s="33"/>
    </row>
    <row r="1604" spans="1:7" ht="15.75">
      <c r="A1604" s="33"/>
      <c r="B1604" s="33"/>
      <c r="G1604" s="33"/>
    </row>
    <row r="1605" spans="1:7" ht="15.75">
      <c r="A1605" s="33"/>
      <c r="B1605" s="33"/>
      <c r="G1605" s="33"/>
    </row>
    <row r="1606" spans="1:7" ht="15.75">
      <c r="A1606" s="33"/>
      <c r="B1606" s="33"/>
      <c r="G1606" s="33"/>
    </row>
    <row r="1607" spans="1:7" ht="15.75">
      <c r="A1607" s="33"/>
      <c r="B1607" s="33"/>
      <c r="G1607" s="33"/>
    </row>
    <row r="1608" spans="1:7" ht="15.75">
      <c r="A1608" s="33"/>
      <c r="B1608" s="33"/>
      <c r="G1608" s="33"/>
    </row>
    <row r="1609" spans="1:7" ht="15.75">
      <c r="A1609" s="33"/>
      <c r="B1609" s="33"/>
      <c r="G1609" s="33"/>
    </row>
    <row r="1610" spans="1:7" ht="15.75">
      <c r="A1610" s="33"/>
      <c r="B1610" s="33"/>
      <c r="G1610" s="33"/>
    </row>
    <row r="1611" spans="1:7" ht="15.75">
      <c r="A1611" s="33"/>
      <c r="B1611" s="33"/>
      <c r="G1611" s="33"/>
    </row>
    <row r="1612" spans="1:7" ht="15.75">
      <c r="A1612" s="33"/>
      <c r="B1612" s="33"/>
      <c r="G1612" s="33"/>
    </row>
    <row r="1613" spans="1:7" ht="15.75">
      <c r="A1613" s="33"/>
      <c r="B1613" s="33"/>
      <c r="G1613" s="33"/>
    </row>
    <row r="1614" spans="1:7" ht="15.75">
      <c r="A1614" s="33"/>
      <c r="B1614" s="33"/>
      <c r="G1614" s="33"/>
    </row>
    <row r="1615" spans="1:7" ht="15.75">
      <c r="A1615" s="33"/>
      <c r="B1615" s="33"/>
      <c r="G1615" s="33"/>
    </row>
    <row r="1616" spans="1:7" ht="15.75">
      <c r="A1616" s="33"/>
      <c r="B1616" s="33"/>
      <c r="G1616" s="33"/>
    </row>
    <row r="1617" spans="1:7" ht="15.75">
      <c r="A1617" s="33"/>
      <c r="B1617" s="33"/>
      <c r="G1617" s="33"/>
    </row>
    <row r="1618" spans="1:7" ht="15.75">
      <c r="A1618" s="33"/>
      <c r="B1618" s="33"/>
      <c r="G1618" s="33"/>
    </row>
    <row r="1619" spans="1:7" ht="15.75">
      <c r="A1619" s="33"/>
      <c r="B1619" s="33"/>
      <c r="G1619" s="33"/>
    </row>
    <row r="1620" spans="1:7" ht="15.75">
      <c r="A1620" s="33"/>
      <c r="B1620" s="33"/>
      <c r="G1620" s="33"/>
    </row>
    <row r="1621" spans="1:7" ht="15.75">
      <c r="A1621" s="33"/>
      <c r="B1621" s="33"/>
      <c r="G1621" s="33"/>
    </row>
    <row r="1622" spans="1:7" ht="15.75">
      <c r="A1622" s="33"/>
      <c r="B1622" s="33"/>
      <c r="G1622" s="33"/>
    </row>
    <row r="1623" spans="1:7" ht="15.75">
      <c r="A1623" s="33"/>
      <c r="B1623" s="33"/>
      <c r="G1623" s="33"/>
    </row>
    <row r="1624" spans="1:7" ht="15.75">
      <c r="A1624" s="33"/>
      <c r="B1624" s="33"/>
      <c r="G1624" s="33"/>
    </row>
    <row r="1625" spans="1:7" ht="15.75">
      <c r="A1625" s="33"/>
      <c r="B1625" s="33"/>
      <c r="G1625" s="33"/>
    </row>
    <row r="1626" spans="1:7" ht="15.75">
      <c r="A1626" s="33"/>
      <c r="B1626" s="33"/>
      <c r="G1626" s="33"/>
    </row>
    <row r="1627" spans="1:7" ht="15.75">
      <c r="A1627" s="33"/>
      <c r="B1627" s="33"/>
      <c r="G1627" s="33"/>
    </row>
    <row r="1628" spans="1:7" ht="15.75">
      <c r="A1628" s="33"/>
      <c r="B1628" s="33"/>
      <c r="G1628" s="33"/>
    </row>
    <row r="1629" spans="1:7" ht="15.75">
      <c r="A1629" s="33"/>
      <c r="B1629" s="33"/>
      <c r="G1629" s="33"/>
    </row>
    <row r="1630" spans="1:7" ht="15.75">
      <c r="A1630" s="33"/>
      <c r="B1630" s="33"/>
      <c r="G1630" s="33"/>
    </row>
    <row r="1631" spans="1:7" ht="15.75">
      <c r="A1631" s="33"/>
      <c r="B1631" s="33"/>
      <c r="G1631" s="33"/>
    </row>
    <row r="1632" spans="1:7" ht="15.75">
      <c r="A1632" s="33"/>
      <c r="B1632" s="33"/>
      <c r="G1632" s="33"/>
    </row>
    <row r="1633" spans="1:7" ht="15.75">
      <c r="A1633" s="33"/>
      <c r="B1633" s="33"/>
      <c r="G1633" s="33"/>
    </row>
    <row r="1634" spans="1:7" ht="15.75">
      <c r="A1634" s="33"/>
      <c r="B1634" s="33"/>
      <c r="G1634" s="33"/>
    </row>
    <row r="1635" spans="1:7" ht="15.75">
      <c r="A1635" s="33"/>
      <c r="B1635" s="33"/>
      <c r="G1635" s="33"/>
    </row>
    <row r="1636" spans="1:7" ht="15.75">
      <c r="A1636" s="33"/>
      <c r="B1636" s="33"/>
      <c r="G1636" s="33"/>
    </row>
    <row r="1637" spans="1:7" ht="15.75">
      <c r="A1637" s="33"/>
      <c r="B1637" s="33"/>
      <c r="G1637" s="33"/>
    </row>
    <row r="1638" spans="1:7" ht="15.75">
      <c r="A1638" s="33"/>
      <c r="B1638" s="33"/>
      <c r="G1638" s="33"/>
    </row>
    <row r="1639" spans="1:7" ht="15.75">
      <c r="A1639" s="33"/>
      <c r="B1639" s="33"/>
      <c r="G1639" s="33"/>
    </row>
    <row r="1640" spans="1:7" ht="15.75">
      <c r="A1640" s="33"/>
      <c r="B1640" s="33"/>
      <c r="G1640" s="33"/>
    </row>
    <row r="1641" spans="1:7" ht="15.75">
      <c r="A1641" s="33"/>
      <c r="B1641" s="33"/>
      <c r="G1641" s="33"/>
    </row>
    <row r="1642" spans="1:7" ht="15.75">
      <c r="A1642" s="33"/>
      <c r="B1642" s="33"/>
      <c r="G1642" s="33"/>
    </row>
    <row r="1643" spans="1:7" ht="15.75">
      <c r="A1643" s="33"/>
      <c r="B1643" s="33"/>
      <c r="G1643" s="33"/>
    </row>
    <row r="1644" spans="1:7" ht="15.75">
      <c r="A1644" s="33"/>
      <c r="B1644" s="33"/>
      <c r="G1644" s="33"/>
    </row>
    <row r="1645" spans="1:7" ht="15.75">
      <c r="A1645" s="33"/>
      <c r="B1645" s="33"/>
      <c r="G1645" s="33"/>
    </row>
    <row r="1646" spans="1:7" ht="15.75">
      <c r="A1646" s="33"/>
      <c r="B1646" s="33"/>
      <c r="G1646" s="33"/>
    </row>
    <row r="1647" spans="1:7" ht="15.75">
      <c r="A1647" s="33"/>
      <c r="B1647" s="33"/>
      <c r="G1647" s="33"/>
    </row>
    <row r="1648" spans="1:7" ht="15.75">
      <c r="A1648" s="33"/>
      <c r="B1648" s="33"/>
      <c r="G1648" s="33"/>
    </row>
    <row r="1649" spans="1:7" ht="15.75">
      <c r="A1649" s="33"/>
      <c r="B1649" s="33"/>
      <c r="G1649" s="33"/>
    </row>
    <row r="1650" spans="1:7" ht="15.75">
      <c r="A1650" s="33"/>
      <c r="B1650" s="33"/>
      <c r="G1650" s="33"/>
    </row>
    <row r="1651" spans="1:7" ht="15.75">
      <c r="A1651" s="33"/>
      <c r="B1651" s="33"/>
      <c r="G1651" s="33"/>
    </row>
    <row r="1652" spans="1:7" ht="15.75">
      <c r="A1652" s="33"/>
      <c r="B1652" s="33"/>
      <c r="G1652" s="33"/>
    </row>
    <row r="1653" spans="1:7" ht="15.75">
      <c r="A1653" s="33"/>
      <c r="B1653" s="33"/>
      <c r="G1653" s="33"/>
    </row>
    <row r="1654" spans="1:7" ht="15.75">
      <c r="A1654" s="33"/>
      <c r="B1654" s="33"/>
      <c r="G1654" s="33"/>
    </row>
    <row r="1655" spans="1:7" ht="15.75">
      <c r="A1655" s="33"/>
      <c r="B1655" s="33"/>
      <c r="G1655" s="33"/>
    </row>
    <row r="1656" spans="1:7" ht="15.75">
      <c r="A1656" s="33"/>
      <c r="B1656" s="33"/>
      <c r="G1656" s="33"/>
    </row>
    <row r="1657" spans="1:7" ht="15.75">
      <c r="A1657" s="33"/>
      <c r="B1657" s="33"/>
      <c r="G1657" s="33"/>
    </row>
    <row r="1658" spans="1:7" ht="15.75">
      <c r="A1658" s="33"/>
      <c r="B1658" s="33"/>
      <c r="G1658" s="33"/>
    </row>
    <row r="1659" spans="1:7" ht="15.75">
      <c r="A1659" s="33"/>
      <c r="B1659" s="33"/>
      <c r="G1659" s="33"/>
    </row>
    <row r="1660" spans="1:7" ht="15.75">
      <c r="A1660" s="33"/>
      <c r="B1660" s="33"/>
      <c r="G1660" s="33"/>
    </row>
    <row r="1661" spans="1:7" ht="15.75">
      <c r="A1661" s="33"/>
      <c r="B1661" s="33"/>
      <c r="G1661" s="33"/>
    </row>
    <row r="1662" spans="1:7" ht="15.75">
      <c r="A1662" s="33"/>
      <c r="B1662" s="33"/>
      <c r="G1662" s="33"/>
    </row>
    <row r="1663" spans="1:7" ht="15.75">
      <c r="A1663" s="33"/>
      <c r="B1663" s="33"/>
      <c r="G1663" s="33"/>
    </row>
    <row r="1664" spans="1:7" ht="15.75">
      <c r="A1664" s="33"/>
      <c r="B1664" s="33"/>
      <c r="G1664" s="33"/>
    </row>
    <row r="1665" spans="1:7" ht="15.75">
      <c r="A1665" s="33"/>
      <c r="B1665" s="33"/>
      <c r="G1665" s="33"/>
    </row>
    <row r="1666" spans="1:7" ht="15.75">
      <c r="A1666" s="33"/>
      <c r="B1666" s="33"/>
      <c r="G1666" s="33"/>
    </row>
    <row r="1667" spans="1:7" ht="15.75">
      <c r="A1667" s="33"/>
      <c r="B1667" s="33"/>
      <c r="G1667" s="33"/>
    </row>
    <row r="1668" spans="1:7" ht="15.75">
      <c r="A1668" s="33"/>
      <c r="B1668" s="33"/>
      <c r="G1668" s="33"/>
    </row>
    <row r="1669" spans="1:7" ht="15.75">
      <c r="A1669" s="33"/>
      <c r="B1669" s="33"/>
      <c r="G1669" s="33"/>
    </row>
    <row r="1670" spans="1:7" ht="15.75">
      <c r="A1670" s="33"/>
      <c r="B1670" s="33"/>
      <c r="G1670" s="33"/>
    </row>
    <row r="1671" spans="1:7" ht="15.75">
      <c r="A1671" s="33"/>
      <c r="B1671" s="33"/>
      <c r="G1671" s="33"/>
    </row>
    <row r="1672" spans="1:7" ht="15.75">
      <c r="A1672" s="33"/>
      <c r="B1672" s="33"/>
      <c r="G1672" s="33"/>
    </row>
    <row r="1673" spans="1:7" ht="15.75">
      <c r="A1673" s="33"/>
      <c r="B1673" s="33"/>
      <c r="G1673" s="33"/>
    </row>
    <row r="1674" spans="1:7" ht="15.75">
      <c r="A1674" s="33"/>
      <c r="B1674" s="33"/>
      <c r="G1674" s="33"/>
    </row>
    <row r="1675" spans="1:7" ht="15.75">
      <c r="A1675" s="33"/>
      <c r="B1675" s="33"/>
      <c r="G1675" s="33"/>
    </row>
    <row r="1676" spans="1:7" ht="15.75">
      <c r="A1676" s="33"/>
      <c r="B1676" s="33"/>
      <c r="G1676" s="33"/>
    </row>
    <row r="1677" spans="1:7" ht="15.75">
      <c r="A1677" s="33"/>
      <c r="B1677" s="33"/>
      <c r="G1677" s="33"/>
    </row>
    <row r="1678" spans="1:7" ht="15.75">
      <c r="A1678" s="33"/>
      <c r="B1678" s="33"/>
      <c r="G1678" s="33"/>
    </row>
    <row r="1679" spans="1:7" ht="15.75">
      <c r="A1679" s="33"/>
      <c r="B1679" s="33"/>
      <c r="G1679" s="33"/>
    </row>
    <row r="1680" spans="1:7" ht="15.75">
      <c r="A1680" s="33"/>
      <c r="B1680" s="33"/>
      <c r="G1680" s="33"/>
    </row>
    <row r="1681" spans="1:7" ht="15.75">
      <c r="A1681" s="33"/>
      <c r="B1681" s="33"/>
      <c r="G1681" s="33"/>
    </row>
    <row r="1682" spans="1:7" ht="15.75">
      <c r="A1682" s="33"/>
      <c r="B1682" s="33"/>
      <c r="G1682" s="33"/>
    </row>
    <row r="1683" spans="1:7" ht="15.75">
      <c r="A1683" s="33"/>
      <c r="B1683" s="33"/>
      <c r="G1683" s="33"/>
    </row>
    <row r="1684" spans="1:7" ht="15.75">
      <c r="A1684" s="33"/>
      <c r="B1684" s="33"/>
      <c r="G1684" s="33"/>
    </row>
    <row r="1685" spans="1:7" ht="15.75">
      <c r="A1685" s="33"/>
      <c r="B1685" s="33"/>
      <c r="G1685" s="33"/>
    </row>
    <row r="1686" spans="1:7" ht="15.75">
      <c r="A1686" s="33"/>
      <c r="B1686" s="33"/>
      <c r="G1686" s="33"/>
    </row>
    <row r="1687" spans="1:7" ht="15.75">
      <c r="A1687" s="33"/>
      <c r="B1687" s="33"/>
      <c r="G1687" s="33"/>
    </row>
    <row r="1688" spans="1:7" ht="15.75">
      <c r="A1688" s="33"/>
      <c r="B1688" s="33"/>
      <c r="G1688" s="33"/>
    </row>
    <row r="1689" spans="1:7" ht="15.75">
      <c r="A1689" s="33"/>
      <c r="B1689" s="33"/>
      <c r="G1689" s="33"/>
    </row>
    <row r="1690" spans="1:7" ht="15.75">
      <c r="A1690" s="33"/>
      <c r="B1690" s="33"/>
      <c r="G1690" s="33"/>
    </row>
    <row r="1691" spans="1:7" ht="15.75">
      <c r="A1691" s="33"/>
      <c r="B1691" s="33"/>
      <c r="G1691" s="33"/>
    </row>
    <row r="1692" spans="1:7" ht="15.75">
      <c r="A1692" s="33"/>
      <c r="B1692" s="33"/>
      <c r="G1692" s="33"/>
    </row>
    <row r="1693" spans="1:7" ht="15.75">
      <c r="A1693" s="33"/>
      <c r="B1693" s="33"/>
      <c r="G1693" s="33"/>
    </row>
    <row r="1694" spans="1:7" ht="15.75">
      <c r="A1694" s="33"/>
      <c r="B1694" s="33"/>
      <c r="G1694" s="33"/>
    </row>
    <row r="1695" spans="1:7" ht="15.75">
      <c r="A1695" s="33"/>
      <c r="B1695" s="33"/>
      <c r="G1695" s="33"/>
    </row>
    <row r="1696" spans="1:7" ht="15.75">
      <c r="A1696" s="33"/>
      <c r="B1696" s="33"/>
      <c r="G1696" s="33"/>
    </row>
    <row r="1697" spans="1:7" ht="15.75">
      <c r="A1697" s="33"/>
      <c r="B1697" s="33"/>
      <c r="G1697" s="33"/>
    </row>
    <row r="1698" spans="1:7" ht="15.75">
      <c r="A1698" s="33"/>
      <c r="B1698" s="33"/>
      <c r="G1698" s="33"/>
    </row>
    <row r="1699" spans="1:7" ht="15.75">
      <c r="A1699" s="33"/>
      <c r="B1699" s="33"/>
      <c r="G1699" s="33"/>
    </row>
    <row r="1700" spans="1:7" ht="15.75">
      <c r="A1700" s="33"/>
      <c r="B1700" s="33"/>
      <c r="G1700" s="33"/>
    </row>
    <row r="1701" spans="1:7" ht="15.75">
      <c r="A1701" s="33"/>
      <c r="B1701" s="33"/>
      <c r="G1701" s="33"/>
    </row>
    <row r="1702" spans="1:7" ht="15.75">
      <c r="A1702" s="33"/>
      <c r="B1702" s="33"/>
      <c r="G1702" s="33"/>
    </row>
    <row r="1703" spans="1:7" ht="15.75">
      <c r="A1703" s="33"/>
      <c r="B1703" s="33"/>
      <c r="G1703" s="33"/>
    </row>
    <row r="1704" spans="1:7" ht="15.75">
      <c r="A1704" s="33"/>
      <c r="B1704" s="33"/>
      <c r="G1704" s="33"/>
    </row>
    <row r="1705" spans="1:7" ht="15.75">
      <c r="A1705" s="33"/>
      <c r="B1705" s="33"/>
      <c r="G1705" s="33"/>
    </row>
    <row r="1706" spans="1:7" ht="15.75">
      <c r="A1706" s="33"/>
      <c r="B1706" s="33"/>
      <c r="G1706" s="33"/>
    </row>
    <row r="1707" spans="1:7" ht="15.75">
      <c r="A1707" s="33"/>
      <c r="B1707" s="33"/>
      <c r="G1707" s="33"/>
    </row>
    <row r="1708" spans="1:7" ht="15.75">
      <c r="A1708" s="33"/>
      <c r="B1708" s="33"/>
      <c r="G1708" s="33"/>
    </row>
    <row r="1709" spans="1:7" ht="15.75">
      <c r="A1709" s="33"/>
      <c r="B1709" s="33"/>
      <c r="G1709" s="33"/>
    </row>
    <row r="1710" spans="1:7" ht="15.75">
      <c r="A1710" s="33"/>
      <c r="B1710" s="33"/>
      <c r="G1710" s="33"/>
    </row>
    <row r="1711" spans="1:7" ht="15.75">
      <c r="A1711" s="33"/>
      <c r="B1711" s="33"/>
      <c r="G1711" s="33"/>
    </row>
    <row r="1712" spans="1:7" ht="15.75">
      <c r="A1712" s="33"/>
      <c r="B1712" s="33"/>
      <c r="G1712" s="33"/>
    </row>
    <row r="1713" spans="1:7" ht="15.75">
      <c r="A1713" s="33"/>
      <c r="B1713" s="33"/>
      <c r="G1713" s="33"/>
    </row>
    <row r="1714" spans="1:7" ht="15.75">
      <c r="A1714" s="33"/>
      <c r="B1714" s="33"/>
      <c r="G1714" s="33"/>
    </row>
    <row r="1715" spans="1:7" ht="15.75">
      <c r="A1715" s="33"/>
      <c r="B1715" s="33"/>
      <c r="G1715" s="33"/>
    </row>
    <row r="1716" spans="1:7" ht="15.75">
      <c r="A1716" s="33"/>
      <c r="B1716" s="33"/>
      <c r="G1716" s="33"/>
    </row>
    <row r="1717" spans="1:7" ht="15.75">
      <c r="A1717" s="33"/>
      <c r="B1717" s="33"/>
      <c r="G1717" s="33"/>
    </row>
    <row r="1718" spans="1:7" ht="15.75">
      <c r="A1718" s="33"/>
      <c r="B1718" s="33"/>
      <c r="G1718" s="33"/>
    </row>
    <row r="1719" spans="1:7" ht="15.75">
      <c r="A1719" s="33"/>
      <c r="B1719" s="33"/>
      <c r="G1719" s="33"/>
    </row>
    <row r="1720" spans="1:7" ht="15.75">
      <c r="A1720" s="33"/>
      <c r="B1720" s="33"/>
      <c r="G1720" s="33"/>
    </row>
    <row r="1721" spans="1:7" ht="15.75">
      <c r="A1721" s="33"/>
      <c r="B1721" s="33"/>
      <c r="G1721" s="33"/>
    </row>
    <row r="1722" spans="1:7" ht="15.75">
      <c r="A1722" s="33"/>
      <c r="B1722" s="33"/>
      <c r="G1722" s="33"/>
    </row>
    <row r="1723" spans="1:7" ht="15.75">
      <c r="A1723" s="33"/>
      <c r="B1723" s="33"/>
      <c r="G1723" s="33"/>
    </row>
    <row r="1724" spans="1:7" ht="15.75">
      <c r="A1724" s="33"/>
      <c r="B1724" s="33"/>
      <c r="G1724" s="33"/>
    </row>
    <row r="1725" spans="1:7" ht="15.75">
      <c r="A1725" s="33"/>
      <c r="B1725" s="33"/>
      <c r="G1725" s="33"/>
    </row>
    <row r="1726" spans="1:7" ht="15.75">
      <c r="A1726" s="33"/>
      <c r="B1726" s="33"/>
      <c r="G1726" s="33"/>
    </row>
    <row r="1727" spans="1:7" ht="15.75">
      <c r="A1727" s="33"/>
      <c r="B1727" s="33"/>
      <c r="G1727" s="33"/>
    </row>
    <row r="1728" spans="1:7" ht="15.75">
      <c r="A1728" s="33"/>
      <c r="B1728" s="33"/>
      <c r="G1728" s="33"/>
    </row>
    <row r="1729" spans="1:7" ht="15.75">
      <c r="A1729" s="33"/>
      <c r="B1729" s="33"/>
      <c r="G1729" s="33"/>
    </row>
    <row r="1730" spans="1:7" ht="15.75">
      <c r="A1730" s="33"/>
      <c r="B1730" s="33"/>
      <c r="G1730" s="33"/>
    </row>
    <row r="1731" spans="1:7" ht="15.75">
      <c r="A1731" s="33"/>
      <c r="B1731" s="33"/>
      <c r="G1731" s="33"/>
    </row>
    <row r="1732" spans="1:7" ht="15.75">
      <c r="A1732" s="33"/>
      <c r="B1732" s="33"/>
      <c r="G1732" s="33"/>
    </row>
    <row r="1733" spans="1:7" ht="15.75">
      <c r="A1733" s="33"/>
      <c r="B1733" s="33"/>
      <c r="G1733" s="33"/>
    </row>
    <row r="1734" spans="1:7" ht="15.75">
      <c r="A1734" s="33"/>
      <c r="B1734" s="33"/>
      <c r="G1734" s="33"/>
    </row>
    <row r="1735" spans="1:7" ht="15.75">
      <c r="A1735" s="33"/>
      <c r="B1735" s="33"/>
      <c r="G1735" s="33"/>
    </row>
    <row r="1736" spans="1:7" ht="15.75">
      <c r="A1736" s="33"/>
      <c r="B1736" s="33"/>
      <c r="G1736" s="33"/>
    </row>
    <row r="1737" spans="1:7" ht="15.75">
      <c r="A1737" s="33"/>
      <c r="B1737" s="33"/>
      <c r="G1737" s="33"/>
    </row>
    <row r="1738" spans="1:7" ht="15.75">
      <c r="A1738" s="33"/>
      <c r="B1738" s="33"/>
      <c r="G1738" s="33"/>
    </row>
    <row r="1739" spans="1:7" ht="15.75">
      <c r="A1739" s="33"/>
      <c r="B1739" s="33"/>
      <c r="G1739" s="33"/>
    </row>
    <row r="1740" spans="1:7" ht="15.75">
      <c r="A1740" s="33"/>
      <c r="B1740" s="33"/>
      <c r="G1740" s="33"/>
    </row>
    <row r="1741" spans="1:7" ht="15.75">
      <c r="A1741" s="33"/>
      <c r="B1741" s="33"/>
      <c r="G1741" s="33"/>
    </row>
    <row r="1742" spans="1:7" ht="15.75">
      <c r="A1742" s="33"/>
      <c r="B1742" s="33"/>
      <c r="G1742" s="33"/>
    </row>
    <row r="1743" spans="1:7" ht="15.75">
      <c r="A1743" s="33"/>
      <c r="B1743" s="33"/>
      <c r="G1743" s="33"/>
    </row>
    <row r="1744" spans="1:7" ht="15.75">
      <c r="A1744" s="33"/>
      <c r="B1744" s="33"/>
      <c r="G1744" s="33"/>
    </row>
    <row r="1745" spans="1:7" ht="15.75">
      <c r="A1745" s="33"/>
      <c r="B1745" s="33"/>
      <c r="G1745" s="33"/>
    </row>
    <row r="1746" spans="1:7" ht="15.75">
      <c r="A1746" s="33"/>
      <c r="B1746" s="33"/>
      <c r="G1746" s="33"/>
    </row>
    <row r="1747" spans="1:7" ht="15.75">
      <c r="A1747" s="33"/>
      <c r="B1747" s="33"/>
      <c r="G1747" s="33"/>
    </row>
    <row r="1748" spans="1:7" ht="15.75">
      <c r="A1748" s="33"/>
      <c r="B1748" s="33"/>
      <c r="G1748" s="33"/>
    </row>
    <row r="1749" spans="1:7" ht="15.75">
      <c r="A1749" s="33"/>
      <c r="B1749" s="33"/>
      <c r="G1749" s="33"/>
    </row>
    <row r="1750" spans="1:7" ht="15.75">
      <c r="A1750" s="33"/>
      <c r="B1750" s="33"/>
      <c r="G1750" s="33"/>
    </row>
    <row r="1751" spans="1:7" ht="15.75">
      <c r="A1751" s="33"/>
      <c r="B1751" s="33"/>
      <c r="G1751" s="33"/>
    </row>
    <row r="1752" spans="1:7" ht="15.75">
      <c r="A1752" s="33"/>
      <c r="B1752" s="33"/>
      <c r="G1752" s="33"/>
    </row>
    <row r="1753" spans="1:7" ht="15.75">
      <c r="A1753" s="33"/>
      <c r="B1753" s="33"/>
      <c r="G1753" s="33"/>
    </row>
    <row r="1754" spans="1:7" ht="15.75">
      <c r="A1754" s="33"/>
      <c r="B1754" s="33"/>
      <c r="G1754" s="33"/>
    </row>
    <row r="1755" spans="1:7" ht="15.75">
      <c r="A1755" s="33"/>
      <c r="B1755" s="33"/>
      <c r="G1755" s="33"/>
    </row>
    <row r="1756" spans="1:7" ht="15.75">
      <c r="A1756" s="33"/>
      <c r="B1756" s="33"/>
      <c r="G1756" s="33"/>
    </row>
    <row r="1757" spans="1:7" ht="15.75">
      <c r="A1757" s="33"/>
      <c r="B1757" s="33"/>
      <c r="G1757" s="33"/>
    </row>
    <row r="1758" spans="1:7" ht="15.75">
      <c r="A1758" s="33"/>
      <c r="B1758" s="33"/>
      <c r="G1758" s="33"/>
    </row>
    <row r="1759" spans="1:7" ht="15.75">
      <c r="A1759" s="33"/>
      <c r="B1759" s="33"/>
      <c r="G1759" s="33"/>
    </row>
    <row r="1760" spans="1:7" ht="15.75">
      <c r="A1760" s="33"/>
      <c r="B1760" s="33"/>
      <c r="G1760" s="33"/>
    </row>
    <row r="1761" spans="1:7" ht="15.75">
      <c r="A1761" s="33"/>
      <c r="B1761" s="33"/>
      <c r="G1761" s="33"/>
    </row>
    <row r="1762" spans="1:7" ht="15.75">
      <c r="A1762" s="33"/>
      <c r="B1762" s="33"/>
      <c r="G1762" s="33"/>
    </row>
    <row r="1763" spans="1:7" ht="15.75">
      <c r="A1763" s="33"/>
      <c r="B1763" s="33"/>
      <c r="G1763" s="33"/>
    </row>
    <row r="1764" spans="1:7" ht="15.75">
      <c r="A1764" s="33"/>
      <c r="B1764" s="33"/>
      <c r="G1764" s="33"/>
    </row>
    <row r="1765" spans="1:7" ht="15.75">
      <c r="A1765" s="33"/>
      <c r="B1765" s="33"/>
      <c r="G1765" s="33"/>
    </row>
    <row r="1766" spans="1:7" ht="15.75">
      <c r="A1766" s="33"/>
      <c r="B1766" s="33"/>
      <c r="G1766" s="33"/>
    </row>
    <row r="1767" spans="1:7" ht="15.75">
      <c r="A1767" s="33"/>
      <c r="B1767" s="33"/>
      <c r="G1767" s="33"/>
    </row>
    <row r="1768" spans="1:7" ht="15.75">
      <c r="A1768" s="33"/>
      <c r="B1768" s="33"/>
      <c r="G1768" s="33"/>
    </row>
    <row r="1769" spans="1:7" ht="15.75">
      <c r="A1769" s="33"/>
      <c r="B1769" s="33"/>
      <c r="G1769" s="33"/>
    </row>
    <row r="1770" spans="1:7" ht="15.75">
      <c r="A1770" s="33"/>
      <c r="B1770" s="33"/>
      <c r="G1770" s="33"/>
    </row>
    <row r="1771" spans="1:7" ht="15.75">
      <c r="A1771" s="33"/>
      <c r="B1771" s="33"/>
      <c r="G1771" s="33"/>
    </row>
    <row r="1772" spans="1:7" ht="15.75">
      <c r="A1772" s="33"/>
      <c r="B1772" s="33"/>
      <c r="G1772" s="33"/>
    </row>
    <row r="1773" spans="1:7" ht="15.75">
      <c r="A1773" s="33"/>
      <c r="B1773" s="33"/>
      <c r="G1773" s="33"/>
    </row>
    <row r="1774" spans="1:7" ht="15.75">
      <c r="A1774" s="33"/>
      <c r="B1774" s="33"/>
      <c r="G1774" s="33"/>
    </row>
    <row r="1775" spans="1:7" ht="15.75">
      <c r="A1775" s="33"/>
      <c r="B1775" s="33"/>
      <c r="G1775" s="33"/>
    </row>
    <row r="1776" spans="1:7" ht="15.75">
      <c r="A1776" s="33"/>
      <c r="B1776" s="33"/>
      <c r="G1776" s="33"/>
    </row>
    <row r="1777" spans="1:7" ht="15.75">
      <c r="A1777" s="33"/>
      <c r="B1777" s="33"/>
      <c r="G1777" s="33"/>
    </row>
    <row r="1778" spans="1:7" ht="15.75">
      <c r="A1778" s="33"/>
      <c r="B1778" s="33"/>
      <c r="G1778" s="33"/>
    </row>
    <row r="1779" spans="1:7" ht="15.75">
      <c r="A1779" s="33"/>
      <c r="B1779" s="33"/>
      <c r="G1779" s="33"/>
    </row>
    <row r="1780" spans="1:7" ht="15.75">
      <c r="A1780" s="33"/>
      <c r="B1780" s="33"/>
      <c r="G1780" s="33"/>
    </row>
    <row r="1781" spans="1:7" ht="15.75">
      <c r="A1781" s="33"/>
      <c r="B1781" s="33"/>
      <c r="G1781" s="33"/>
    </row>
    <row r="1782" spans="1:7" ht="15.75">
      <c r="A1782" s="33"/>
      <c r="B1782" s="33"/>
      <c r="G1782" s="33"/>
    </row>
    <row r="1783" spans="1:7" ht="15.75">
      <c r="A1783" s="33"/>
      <c r="B1783" s="33"/>
      <c r="G1783" s="33"/>
    </row>
    <row r="1784" spans="1:7" ht="15.75">
      <c r="A1784" s="33"/>
      <c r="B1784" s="33"/>
      <c r="G1784" s="33"/>
    </row>
    <row r="1785" spans="1:7" ht="15.75">
      <c r="A1785" s="33"/>
      <c r="B1785" s="33"/>
      <c r="G1785" s="33"/>
    </row>
    <row r="1786" spans="1:7" ht="15.75">
      <c r="A1786" s="33"/>
      <c r="B1786" s="33"/>
      <c r="G1786" s="33"/>
    </row>
    <row r="1787" spans="1:7" ht="15.75">
      <c r="A1787" s="33"/>
      <c r="B1787" s="33"/>
      <c r="G1787" s="33"/>
    </row>
    <row r="1788" spans="1:7" ht="15.75">
      <c r="A1788" s="33"/>
      <c r="B1788" s="33"/>
      <c r="G1788" s="33"/>
    </row>
    <row r="1789" spans="1:7" ht="15.75">
      <c r="A1789" s="33"/>
      <c r="B1789" s="33"/>
      <c r="G1789" s="33"/>
    </row>
    <row r="1790" spans="1:7" ht="15.75">
      <c r="A1790" s="33"/>
      <c r="B1790" s="33"/>
      <c r="G1790" s="33"/>
    </row>
    <row r="1791" spans="1:7" ht="15.75">
      <c r="A1791" s="33"/>
      <c r="B1791" s="33"/>
      <c r="G1791" s="33"/>
    </row>
    <row r="1792" spans="1:7" ht="15.75">
      <c r="A1792" s="33"/>
      <c r="B1792" s="33"/>
      <c r="G1792" s="33"/>
    </row>
    <row r="1793" spans="1:7" ht="15.75">
      <c r="A1793" s="33"/>
      <c r="B1793" s="33"/>
      <c r="G1793" s="33"/>
    </row>
    <row r="1794" spans="1:7" ht="15.75">
      <c r="A1794" s="33"/>
      <c r="B1794" s="33"/>
      <c r="G1794" s="33"/>
    </row>
    <row r="1795" spans="1:7" ht="15.75">
      <c r="A1795" s="33"/>
      <c r="B1795" s="33"/>
      <c r="G1795" s="33"/>
    </row>
    <row r="1796" spans="1:7" ht="15.75">
      <c r="A1796" s="33"/>
      <c r="B1796" s="33"/>
      <c r="G1796" s="33"/>
    </row>
    <row r="1797" spans="1:7" ht="15.75">
      <c r="A1797" s="33"/>
      <c r="B1797" s="33"/>
      <c r="G1797" s="33"/>
    </row>
    <row r="1798" spans="1:7" ht="15.75">
      <c r="A1798" s="33"/>
      <c r="B1798" s="33"/>
      <c r="G1798" s="33"/>
    </row>
    <row r="1799" spans="1:7" ht="15.75">
      <c r="A1799" s="33"/>
      <c r="B1799" s="33"/>
      <c r="G1799" s="33"/>
    </row>
    <row r="1800" spans="1:7" ht="15.75">
      <c r="A1800" s="33"/>
      <c r="B1800" s="33"/>
      <c r="G1800" s="33"/>
    </row>
    <row r="1801" spans="1:7" ht="15.75">
      <c r="A1801" s="33"/>
      <c r="B1801" s="33"/>
      <c r="G1801" s="33"/>
    </row>
    <row r="1802" spans="1:7" ht="15.75">
      <c r="A1802" s="33"/>
      <c r="B1802" s="33"/>
      <c r="G1802" s="33"/>
    </row>
    <row r="1803" spans="1:7" ht="15.75">
      <c r="A1803" s="33"/>
      <c r="B1803" s="33"/>
      <c r="G1803" s="33"/>
    </row>
    <row r="1804" spans="1:7" ht="15.75">
      <c r="A1804" s="33"/>
      <c r="B1804" s="33"/>
      <c r="G1804" s="33"/>
    </row>
    <row r="1805" spans="1:7" ht="15.75">
      <c r="A1805" s="33"/>
      <c r="B1805" s="33"/>
      <c r="G1805" s="33"/>
    </row>
    <row r="1806" spans="1:7" ht="15.75">
      <c r="A1806" s="33"/>
      <c r="B1806" s="33"/>
      <c r="G1806" s="33"/>
    </row>
    <row r="1807" spans="1:7" ht="15.75">
      <c r="A1807" s="33"/>
      <c r="B1807" s="33"/>
      <c r="G1807" s="33"/>
    </row>
    <row r="1808" spans="1:7" ht="15.75">
      <c r="A1808" s="33"/>
      <c r="B1808" s="33"/>
      <c r="G1808" s="33"/>
    </row>
    <row r="1809" spans="1:7" ht="15.75">
      <c r="A1809" s="33"/>
      <c r="B1809" s="33"/>
      <c r="G1809" s="33"/>
    </row>
    <row r="1810" spans="1:7" ht="15.75">
      <c r="A1810" s="33"/>
      <c r="B1810" s="33"/>
      <c r="G1810" s="33"/>
    </row>
    <row r="1811" spans="1:7" ht="15.75">
      <c r="A1811" s="33"/>
      <c r="B1811" s="33"/>
      <c r="G1811" s="33"/>
    </row>
    <row r="1812" spans="1:7" ht="15.75">
      <c r="A1812" s="33"/>
      <c r="B1812" s="33"/>
      <c r="G1812" s="33"/>
    </row>
    <row r="1813" spans="1:7" ht="15.75">
      <c r="A1813" s="33"/>
      <c r="B1813" s="33"/>
      <c r="G1813" s="33"/>
    </row>
    <row r="1814" spans="1:7" ht="15.75">
      <c r="A1814" s="33"/>
      <c r="B1814" s="33"/>
      <c r="G1814" s="33"/>
    </row>
    <row r="1815" spans="1:7" ht="15.75">
      <c r="A1815" s="33"/>
      <c r="B1815" s="33"/>
      <c r="G1815" s="33"/>
    </row>
    <row r="1816" spans="1:7" ht="15.75">
      <c r="A1816" s="33"/>
      <c r="B1816" s="33"/>
      <c r="G1816" s="33"/>
    </row>
    <row r="1817" spans="1:7" ht="15.75">
      <c r="A1817" s="33"/>
      <c r="B1817" s="33"/>
      <c r="G1817" s="33"/>
    </row>
    <row r="1818" spans="1:7" ht="15.75">
      <c r="A1818" s="33"/>
      <c r="B1818" s="33"/>
      <c r="G1818" s="33"/>
    </row>
    <row r="1819" spans="1:7" ht="15.75">
      <c r="A1819" s="33"/>
      <c r="B1819" s="33"/>
      <c r="G1819" s="33"/>
    </row>
    <row r="1820" spans="1:7" ht="15.75">
      <c r="A1820" s="33"/>
      <c r="B1820" s="33"/>
      <c r="G1820" s="33"/>
    </row>
    <row r="1821" spans="1:7" ht="15.75">
      <c r="A1821" s="33"/>
      <c r="B1821" s="33"/>
      <c r="G1821" s="33"/>
    </row>
    <row r="1822" spans="1:7" ht="15.75">
      <c r="A1822" s="33"/>
      <c r="B1822" s="33"/>
      <c r="G1822" s="33"/>
    </row>
    <row r="1823" spans="1:7" ht="15.75">
      <c r="A1823" s="33"/>
      <c r="B1823" s="33"/>
      <c r="G1823" s="33"/>
    </row>
    <row r="1824" spans="1:7" ht="15.75">
      <c r="A1824" s="33"/>
      <c r="B1824" s="33"/>
      <c r="G1824" s="33"/>
    </row>
    <row r="1825" spans="1:7" ht="15.75">
      <c r="A1825" s="33"/>
      <c r="B1825" s="33"/>
      <c r="G1825" s="33"/>
    </row>
    <row r="1826" spans="1:7" ht="15.75">
      <c r="A1826" s="33"/>
      <c r="B1826" s="33"/>
      <c r="G1826" s="33"/>
    </row>
    <row r="1827" spans="1:7" ht="15.75">
      <c r="A1827" s="33"/>
      <c r="B1827" s="33"/>
      <c r="G1827" s="33"/>
    </row>
    <row r="1828" spans="1:7" ht="15.75">
      <c r="A1828" s="33"/>
      <c r="B1828" s="33"/>
      <c r="G1828" s="33"/>
    </row>
    <row r="1829" spans="1:7" ht="15.75">
      <c r="A1829" s="33"/>
      <c r="B1829" s="33"/>
      <c r="G1829" s="33"/>
    </row>
    <row r="1830" spans="1:7" ht="15.75">
      <c r="A1830" s="33"/>
      <c r="B1830" s="33"/>
      <c r="G1830" s="33"/>
    </row>
    <row r="1831" spans="1:7" ht="15.75">
      <c r="A1831" s="33"/>
      <c r="B1831" s="33"/>
      <c r="G1831" s="33"/>
    </row>
    <row r="1832" spans="1:7" ht="15.75">
      <c r="A1832" s="33"/>
      <c r="B1832" s="33"/>
      <c r="G1832" s="33"/>
    </row>
    <row r="1833" spans="1:7" ht="15.75">
      <c r="A1833" s="33"/>
      <c r="B1833" s="33"/>
      <c r="G1833" s="33"/>
    </row>
    <row r="1834" spans="1:7" ht="15.75">
      <c r="A1834" s="33"/>
      <c r="B1834" s="33"/>
      <c r="G1834" s="33"/>
    </row>
    <row r="1835" spans="1:7" ht="15.75">
      <c r="A1835" s="33"/>
      <c r="B1835" s="33"/>
      <c r="G1835" s="33"/>
    </row>
    <row r="1836" spans="1:7" ht="15.75">
      <c r="A1836" s="33"/>
      <c r="B1836" s="33"/>
      <c r="G1836" s="33"/>
    </row>
    <row r="1837" spans="1:7" ht="15.75">
      <c r="A1837" s="33"/>
      <c r="B1837" s="33"/>
      <c r="G1837" s="33"/>
    </row>
    <row r="1838" spans="1:7" ht="15.75">
      <c r="A1838" s="33"/>
      <c r="B1838" s="33"/>
      <c r="G1838" s="33"/>
    </row>
    <row r="1839" spans="1:7" ht="15.75">
      <c r="A1839" s="33"/>
      <c r="B1839" s="33"/>
      <c r="G1839" s="33"/>
    </row>
    <row r="1840" spans="1:7" ht="15.75">
      <c r="A1840" s="33"/>
      <c r="B1840" s="33"/>
      <c r="G1840" s="33"/>
    </row>
    <row r="1841" spans="1:7" ht="15.75">
      <c r="A1841" s="33"/>
      <c r="B1841" s="33"/>
      <c r="G1841" s="33"/>
    </row>
    <row r="1842" spans="1:7" ht="15.75">
      <c r="A1842" s="33"/>
      <c r="B1842" s="33"/>
      <c r="G1842" s="33"/>
    </row>
    <row r="1843" spans="1:7" ht="15.75">
      <c r="A1843" s="33"/>
      <c r="B1843" s="33"/>
      <c r="G1843" s="33"/>
    </row>
    <row r="1844" spans="1:7" ht="15.75">
      <c r="A1844" s="33"/>
      <c r="B1844" s="33"/>
      <c r="G1844" s="33"/>
    </row>
    <row r="1845" spans="1:7" ht="15.75">
      <c r="A1845" s="33"/>
      <c r="B1845" s="33"/>
      <c r="G1845" s="33"/>
    </row>
    <row r="1846" spans="1:7" ht="15.75">
      <c r="A1846" s="33"/>
      <c r="B1846" s="33"/>
      <c r="G1846" s="33"/>
    </row>
    <row r="1847" spans="1:7" ht="15.75">
      <c r="A1847" s="33"/>
      <c r="B1847" s="33"/>
      <c r="G1847" s="33"/>
    </row>
    <row r="1848" spans="1:7" ht="15.75">
      <c r="A1848" s="33"/>
      <c r="B1848" s="33"/>
      <c r="G1848" s="33"/>
    </row>
    <row r="1849" spans="1:7" ht="15.75">
      <c r="A1849" s="33"/>
      <c r="B1849" s="33"/>
      <c r="G1849" s="33"/>
    </row>
    <row r="1850" spans="1:7" ht="15.75">
      <c r="A1850" s="33"/>
      <c r="B1850" s="33"/>
      <c r="G1850" s="33"/>
    </row>
    <row r="1851" spans="1:7" ht="15.75">
      <c r="A1851" s="33"/>
      <c r="B1851" s="33"/>
      <c r="G1851" s="33"/>
    </row>
    <row r="1852" spans="1:7" ht="15.75">
      <c r="A1852" s="33"/>
      <c r="B1852" s="33"/>
      <c r="G1852" s="33"/>
    </row>
    <row r="1853" spans="1:7" ht="15.75">
      <c r="A1853" s="33"/>
      <c r="B1853" s="33"/>
      <c r="G1853" s="33"/>
    </row>
    <row r="1854" spans="1:7" ht="15.75">
      <c r="A1854" s="33"/>
      <c r="B1854" s="33"/>
      <c r="G1854" s="33"/>
    </row>
    <row r="1855" spans="1:7" ht="15.75">
      <c r="A1855" s="33"/>
      <c r="B1855" s="33"/>
      <c r="G1855" s="33"/>
    </row>
    <row r="1856" spans="1:7" ht="15.75">
      <c r="A1856" s="33"/>
      <c r="B1856" s="33"/>
      <c r="G1856" s="33"/>
    </row>
    <row r="1857" spans="1:7" ht="15.75">
      <c r="A1857" s="33"/>
      <c r="B1857" s="33"/>
      <c r="G1857" s="33"/>
    </row>
    <row r="1858" spans="1:7" ht="15.75">
      <c r="A1858" s="33"/>
      <c r="B1858" s="33"/>
      <c r="G1858" s="33"/>
    </row>
    <row r="1859" spans="1:7" ht="15.75">
      <c r="A1859" s="33"/>
      <c r="B1859" s="33"/>
      <c r="G1859" s="33"/>
    </row>
    <row r="1860" spans="1:7" ht="15.75">
      <c r="A1860" s="33"/>
      <c r="B1860" s="33"/>
      <c r="G1860" s="33"/>
    </row>
    <row r="1861" spans="1:7" ht="15.75">
      <c r="A1861" s="33"/>
      <c r="B1861" s="33"/>
      <c r="G1861" s="33"/>
    </row>
    <row r="1862" spans="1:7" ht="15.75">
      <c r="A1862" s="33"/>
      <c r="B1862" s="33"/>
      <c r="G1862" s="33"/>
    </row>
    <row r="1863" spans="1:7" ht="15.75">
      <c r="A1863" s="33"/>
      <c r="B1863" s="33"/>
      <c r="G1863" s="33"/>
    </row>
    <row r="1864" spans="1:7" ht="15.75">
      <c r="A1864" s="33"/>
      <c r="B1864" s="33"/>
      <c r="G1864" s="33"/>
    </row>
    <row r="1865" spans="1:7" ht="15.75">
      <c r="A1865" s="33"/>
      <c r="B1865" s="33"/>
      <c r="G1865" s="33"/>
    </row>
    <row r="1866" spans="1:7" ht="15.75">
      <c r="A1866" s="33"/>
      <c r="B1866" s="33"/>
      <c r="G1866" s="33"/>
    </row>
    <row r="1867" spans="1:7" ht="15.75">
      <c r="A1867" s="33"/>
      <c r="B1867" s="33"/>
      <c r="G1867" s="33"/>
    </row>
    <row r="1868" spans="1:7" ht="15.75">
      <c r="A1868" s="33"/>
      <c r="B1868" s="33"/>
      <c r="G1868" s="33"/>
    </row>
    <row r="1869" spans="1:7" ht="15.75">
      <c r="A1869" s="33"/>
      <c r="B1869" s="33"/>
      <c r="G1869" s="33"/>
    </row>
    <row r="1870" spans="1:7" ht="15.75">
      <c r="A1870" s="33"/>
      <c r="B1870" s="33"/>
      <c r="G1870" s="33"/>
    </row>
    <row r="1871" spans="1:7" ht="15.75">
      <c r="A1871" s="33"/>
      <c r="B1871" s="33"/>
      <c r="G1871" s="33"/>
    </row>
    <row r="1872" spans="1:7" ht="15.75">
      <c r="A1872" s="33"/>
      <c r="B1872" s="33"/>
      <c r="G1872" s="33"/>
    </row>
    <row r="1873" spans="1:7" ht="15.75">
      <c r="A1873" s="33"/>
      <c r="B1873" s="33"/>
      <c r="G1873" s="33"/>
    </row>
    <row r="1874" spans="1:7" ht="15.75">
      <c r="A1874" s="33"/>
      <c r="B1874" s="33"/>
      <c r="G1874" s="33"/>
    </row>
    <row r="1875" spans="1:7" ht="15.75">
      <c r="A1875" s="33"/>
      <c r="B1875" s="33"/>
      <c r="G1875" s="33"/>
    </row>
    <row r="1876" spans="1:7" ht="15.75">
      <c r="A1876" s="33"/>
      <c r="B1876" s="33"/>
      <c r="G1876" s="33"/>
    </row>
    <row r="1877" spans="1:7" ht="15.75">
      <c r="A1877" s="33"/>
      <c r="B1877" s="33"/>
      <c r="G1877" s="33"/>
    </row>
    <row r="1878" spans="1:7" ht="15.75">
      <c r="A1878" s="33"/>
      <c r="B1878" s="33"/>
      <c r="G1878" s="33"/>
    </row>
    <row r="1879" spans="1:7" ht="15.75">
      <c r="A1879" s="33"/>
      <c r="B1879" s="33"/>
      <c r="G1879" s="33"/>
    </row>
    <row r="1880" spans="1:7" ht="15.75">
      <c r="A1880" s="33"/>
      <c r="B1880" s="33"/>
      <c r="G1880" s="33"/>
    </row>
    <row r="1881" spans="1:7" ht="15.75">
      <c r="A1881" s="33"/>
      <c r="B1881" s="33"/>
      <c r="G1881" s="33"/>
    </row>
    <row r="1882" spans="1:7" ht="15.75">
      <c r="A1882" s="33"/>
      <c r="B1882" s="33"/>
      <c r="G1882" s="33"/>
    </row>
    <row r="1883" spans="1:7" ht="15.75">
      <c r="A1883" s="33"/>
      <c r="B1883" s="33"/>
      <c r="G1883" s="33"/>
    </row>
    <row r="1884" spans="1:7" ht="15.75">
      <c r="A1884" s="33"/>
      <c r="B1884" s="33"/>
      <c r="G1884" s="33"/>
    </row>
    <row r="1885" spans="1:7" ht="15.75">
      <c r="A1885" s="33"/>
      <c r="B1885" s="33"/>
      <c r="G1885" s="33"/>
    </row>
    <row r="1886" spans="1:7" ht="15.75">
      <c r="A1886" s="33"/>
      <c r="B1886" s="33"/>
      <c r="G1886" s="33"/>
    </row>
    <row r="1887" spans="1:7" ht="15.75">
      <c r="A1887" s="33"/>
      <c r="B1887" s="33"/>
      <c r="G1887" s="33"/>
    </row>
    <row r="1888" spans="1:7" ht="15.75">
      <c r="A1888" s="33"/>
      <c r="B1888" s="33"/>
      <c r="G1888" s="33"/>
    </row>
    <row r="1889" spans="1:7" ht="15.75">
      <c r="A1889" s="33"/>
      <c r="B1889" s="33"/>
      <c r="G1889" s="33"/>
    </row>
    <row r="1890" spans="1:7" ht="15.75">
      <c r="A1890" s="33"/>
      <c r="B1890" s="33"/>
      <c r="G1890" s="33"/>
    </row>
    <row r="1891" spans="1:7" ht="15.75">
      <c r="A1891" s="33"/>
      <c r="B1891" s="33"/>
      <c r="G1891" s="33"/>
    </row>
    <row r="1892" spans="1:7" ht="15.75">
      <c r="A1892" s="33"/>
      <c r="B1892" s="33"/>
      <c r="G1892" s="33"/>
    </row>
    <row r="1893" spans="1:7" ht="15.75">
      <c r="A1893" s="33"/>
      <c r="B1893" s="33"/>
      <c r="G1893" s="33"/>
    </row>
    <row r="1894" spans="1:7" ht="15.75">
      <c r="A1894" s="33"/>
      <c r="B1894" s="33"/>
      <c r="G1894" s="33"/>
    </row>
    <row r="1895" spans="1:7" ht="15.75">
      <c r="A1895" s="33"/>
      <c r="B1895" s="33"/>
      <c r="G1895" s="33"/>
    </row>
    <row r="1896" spans="1:7" ht="15.75">
      <c r="A1896" s="33"/>
      <c r="B1896" s="33"/>
      <c r="G1896" s="33"/>
    </row>
    <row r="1897" spans="1:7" ht="15.75">
      <c r="A1897" s="33"/>
      <c r="B1897" s="33"/>
      <c r="G1897" s="33"/>
    </row>
    <row r="1898" spans="1:7" ht="15.75">
      <c r="A1898" s="33"/>
      <c r="B1898" s="33"/>
      <c r="G1898" s="33"/>
    </row>
    <row r="1899" spans="1:7" ht="15.75">
      <c r="A1899" s="33"/>
      <c r="B1899" s="33"/>
      <c r="G1899" s="33"/>
    </row>
    <row r="1900" spans="1:7" ht="15.75">
      <c r="A1900" s="33"/>
      <c r="B1900" s="33"/>
      <c r="G1900" s="33"/>
    </row>
    <row r="1901" spans="1:7" ht="15.75">
      <c r="A1901" s="33"/>
      <c r="B1901" s="33"/>
      <c r="G1901" s="33"/>
    </row>
    <row r="1902" spans="1:7" ht="15.75">
      <c r="A1902" s="33"/>
      <c r="B1902" s="33"/>
      <c r="G1902" s="33"/>
    </row>
    <row r="1903" spans="1:7" ht="15.75">
      <c r="A1903" s="33"/>
      <c r="B1903" s="33"/>
      <c r="G1903" s="33"/>
    </row>
    <row r="1904" spans="1:7" ht="15.75">
      <c r="A1904" s="33"/>
      <c r="B1904" s="33"/>
      <c r="G1904" s="33"/>
    </row>
    <row r="1905" spans="1:7" ht="15.75">
      <c r="A1905" s="33"/>
      <c r="B1905" s="33"/>
      <c r="G1905" s="33"/>
    </row>
    <row r="1906" spans="1:7" ht="15.75">
      <c r="A1906" s="33"/>
      <c r="B1906" s="33"/>
      <c r="G1906" s="33"/>
    </row>
    <row r="1907" spans="1:7" ht="15.75">
      <c r="A1907" s="33"/>
      <c r="B1907" s="33"/>
      <c r="G1907" s="33"/>
    </row>
    <row r="1908" spans="1:7" ht="15.75">
      <c r="A1908" s="33"/>
      <c r="B1908" s="33"/>
      <c r="G1908" s="33"/>
    </row>
    <row r="1909" spans="1:7" ht="15.75">
      <c r="A1909" s="33"/>
      <c r="B1909" s="33"/>
      <c r="G1909" s="33"/>
    </row>
    <row r="1910" spans="1:7" ht="15.75">
      <c r="A1910" s="33"/>
      <c r="B1910" s="33"/>
      <c r="G1910" s="33"/>
    </row>
    <row r="1911" spans="1:7" ht="15.75">
      <c r="A1911" s="33"/>
      <c r="B1911" s="33"/>
      <c r="G1911" s="33"/>
    </row>
    <row r="1912" spans="1:7" ht="15.75">
      <c r="A1912" s="33"/>
      <c r="B1912" s="33"/>
      <c r="G1912" s="33"/>
    </row>
    <row r="1913" spans="1:7" ht="15.75">
      <c r="A1913" s="33"/>
      <c r="B1913" s="33"/>
      <c r="G1913" s="33"/>
    </row>
    <row r="1914" spans="1:7" ht="15.75">
      <c r="A1914" s="33"/>
      <c r="B1914" s="33"/>
      <c r="G1914" s="33"/>
    </row>
    <row r="1915" spans="1:7" ht="15.75">
      <c r="A1915" s="33"/>
      <c r="B1915" s="33"/>
      <c r="G1915" s="33"/>
    </row>
    <row r="1916" spans="1:7" ht="15.75">
      <c r="A1916" s="33"/>
      <c r="B1916" s="33"/>
      <c r="G1916" s="33"/>
    </row>
    <row r="1917" spans="1:7" ht="15.75">
      <c r="A1917" s="33"/>
      <c r="B1917" s="33"/>
      <c r="G1917" s="33"/>
    </row>
    <row r="1918" spans="1:7" ht="15.75">
      <c r="A1918" s="33"/>
      <c r="B1918" s="33"/>
      <c r="G1918" s="33"/>
    </row>
    <row r="1919" spans="1:7" ht="15.75">
      <c r="A1919" s="33"/>
      <c r="B1919" s="33"/>
      <c r="G1919" s="33"/>
    </row>
    <row r="1920" spans="1:7" ht="15.75">
      <c r="A1920" s="33"/>
      <c r="B1920" s="33"/>
      <c r="G1920" s="33"/>
    </row>
    <row r="1921" spans="1:7" ht="15.75">
      <c r="A1921" s="33"/>
      <c r="B1921" s="33"/>
      <c r="G1921" s="33"/>
    </row>
    <row r="1922" spans="1:7" ht="15.75">
      <c r="A1922" s="33"/>
      <c r="B1922" s="33"/>
      <c r="G1922" s="33"/>
    </row>
    <row r="1923" spans="1:7" ht="15.75">
      <c r="A1923" s="33"/>
      <c r="B1923" s="33"/>
      <c r="G1923" s="33"/>
    </row>
    <row r="1924" spans="1:7" ht="15.75">
      <c r="A1924" s="33"/>
      <c r="B1924" s="33"/>
      <c r="G1924" s="33"/>
    </row>
    <row r="1925" spans="1:7" ht="15.75">
      <c r="A1925" s="33"/>
      <c r="B1925" s="33"/>
      <c r="G1925" s="33"/>
    </row>
    <row r="1926" spans="1:7" ht="15.75">
      <c r="A1926" s="33"/>
      <c r="B1926" s="33"/>
      <c r="G1926" s="33"/>
    </row>
    <row r="1927" spans="1:7" ht="15.75">
      <c r="A1927" s="33"/>
      <c r="B1927" s="33"/>
      <c r="G1927" s="33"/>
    </row>
    <row r="1928" spans="1:7" ht="15.75">
      <c r="A1928" s="33"/>
      <c r="B1928" s="33"/>
      <c r="G1928" s="33"/>
    </row>
    <row r="1929" spans="1:7" ht="15.75">
      <c r="A1929" s="33"/>
      <c r="B1929" s="33"/>
      <c r="G1929" s="33"/>
    </row>
    <row r="1930" spans="1:7" ht="15.75">
      <c r="A1930" s="33"/>
      <c r="B1930" s="33"/>
      <c r="G1930" s="33"/>
    </row>
    <row r="1931" spans="1:7" ht="15.75">
      <c r="A1931" s="33"/>
      <c r="B1931" s="33"/>
      <c r="G1931" s="33"/>
    </row>
    <row r="1932" spans="1:7" ht="15.75">
      <c r="A1932" s="33"/>
      <c r="B1932" s="33"/>
      <c r="G1932" s="33"/>
    </row>
    <row r="1933" spans="1:7" ht="15.75">
      <c r="A1933" s="33"/>
      <c r="B1933" s="33"/>
      <c r="G1933" s="33"/>
    </row>
    <row r="1934" spans="1:7" ht="15.75">
      <c r="A1934" s="33"/>
      <c r="B1934" s="33"/>
      <c r="G1934" s="33"/>
    </row>
    <row r="1935" spans="1:7" ht="15.75">
      <c r="A1935" s="33"/>
      <c r="B1935" s="33"/>
      <c r="G1935" s="33"/>
    </row>
    <row r="1936" spans="1:7" ht="15.75">
      <c r="A1936" s="33"/>
      <c r="B1936" s="33"/>
      <c r="G1936" s="33"/>
    </row>
    <row r="1937" spans="1:7" ht="15.75">
      <c r="A1937" s="33"/>
      <c r="B1937" s="33"/>
      <c r="G1937" s="33"/>
    </row>
    <row r="1938" spans="1:7" ht="15.75">
      <c r="A1938" s="33"/>
      <c r="B1938" s="33"/>
      <c r="G1938" s="33"/>
    </row>
    <row r="1939" spans="1:7" ht="15.75">
      <c r="A1939" s="33"/>
      <c r="B1939" s="33"/>
      <c r="G1939" s="33"/>
    </row>
    <row r="1940" spans="1:7" ht="15.75">
      <c r="A1940" s="33"/>
      <c r="B1940" s="33"/>
      <c r="G1940" s="33"/>
    </row>
    <row r="1941" spans="1:7" ht="15.75">
      <c r="A1941" s="33"/>
      <c r="B1941" s="33"/>
      <c r="G1941" s="33"/>
    </row>
    <row r="1942" spans="1:7" ht="15.75">
      <c r="A1942" s="33"/>
      <c r="B1942" s="33"/>
      <c r="G1942" s="33"/>
    </row>
    <row r="1943" spans="1:7" ht="15.75">
      <c r="A1943" s="33"/>
      <c r="B1943" s="33"/>
      <c r="G1943" s="33"/>
    </row>
    <row r="1944" spans="1:7" ht="15.75">
      <c r="A1944" s="33"/>
      <c r="B1944" s="33"/>
      <c r="G1944" s="33"/>
    </row>
    <row r="1945" spans="1:7" ht="15.75">
      <c r="A1945" s="33"/>
      <c r="B1945" s="33"/>
      <c r="G1945" s="33"/>
    </row>
    <row r="1946" spans="1:7" ht="15.75">
      <c r="A1946" s="33"/>
      <c r="B1946" s="33"/>
      <c r="G1946" s="33"/>
    </row>
    <row r="1947" spans="1:7" ht="15.75">
      <c r="A1947" s="33"/>
      <c r="B1947" s="33"/>
      <c r="G1947" s="33"/>
    </row>
    <row r="1948" spans="1:7" ht="15.75">
      <c r="A1948" s="33"/>
      <c r="B1948" s="33"/>
      <c r="G1948" s="33"/>
    </row>
    <row r="1949" spans="1:7" ht="15.75">
      <c r="A1949" s="33"/>
      <c r="B1949" s="33"/>
      <c r="G1949" s="33"/>
    </row>
    <row r="1950" spans="1:7" ht="15.75">
      <c r="A1950" s="33"/>
      <c r="B1950" s="33"/>
      <c r="G1950" s="33"/>
    </row>
    <row r="1951" spans="1:7" ht="15.75">
      <c r="A1951" s="33"/>
      <c r="B1951" s="33"/>
      <c r="G1951" s="33"/>
    </row>
    <row r="1952" spans="1:7" ht="15.75">
      <c r="A1952" s="33"/>
      <c r="B1952" s="33"/>
      <c r="G1952" s="33"/>
    </row>
    <row r="1953" spans="1:7" ht="15.75">
      <c r="A1953" s="33"/>
      <c r="B1953" s="33"/>
      <c r="G1953" s="33"/>
    </row>
    <row r="1954" spans="1:7" ht="15.75">
      <c r="A1954" s="33"/>
      <c r="B1954" s="33"/>
      <c r="G1954" s="33"/>
    </row>
    <row r="1955" spans="1:7" ht="15.75">
      <c r="A1955" s="33"/>
      <c r="B1955" s="33"/>
      <c r="G1955" s="33"/>
    </row>
    <row r="1956" spans="1:7" ht="15.75">
      <c r="A1956" s="33"/>
      <c r="B1956" s="33"/>
      <c r="G1956" s="33"/>
    </row>
    <row r="1957" spans="1:7" ht="15.75">
      <c r="A1957" s="33"/>
      <c r="B1957" s="33"/>
      <c r="G1957" s="33"/>
    </row>
    <row r="1958" spans="1:7" ht="15.75">
      <c r="A1958" s="33"/>
      <c r="B1958" s="33"/>
      <c r="G1958" s="33"/>
    </row>
    <row r="1959" spans="1:7" ht="15.75">
      <c r="A1959" s="33"/>
      <c r="B1959" s="33"/>
      <c r="G1959" s="33"/>
    </row>
    <row r="1960" spans="1:7" ht="15.75">
      <c r="A1960" s="33"/>
      <c r="B1960" s="33"/>
      <c r="G1960" s="33"/>
    </row>
    <row r="1961" spans="1:7" ht="15.75">
      <c r="A1961" s="33"/>
      <c r="B1961" s="33"/>
      <c r="G1961" s="33"/>
    </row>
    <row r="1962" spans="1:7" ht="15.75">
      <c r="A1962" s="33"/>
      <c r="B1962" s="33"/>
      <c r="G1962" s="33"/>
    </row>
    <row r="1963" spans="1:7" ht="15.75">
      <c r="A1963" s="33"/>
      <c r="B1963" s="33"/>
      <c r="G1963" s="33"/>
    </row>
    <row r="1964" spans="1:7" ht="15.75">
      <c r="A1964" s="33"/>
      <c r="B1964" s="33"/>
      <c r="G1964" s="33"/>
    </row>
    <row r="1965" spans="1:7" ht="15.75">
      <c r="A1965" s="33"/>
      <c r="B1965" s="33"/>
      <c r="G1965" s="33"/>
    </row>
    <row r="1966" spans="1:7" ht="15.75">
      <c r="A1966" s="33"/>
      <c r="B1966" s="33"/>
      <c r="G1966" s="33"/>
    </row>
    <row r="1967" spans="1:7" ht="15.75">
      <c r="A1967" s="33"/>
      <c r="B1967" s="33"/>
      <c r="G1967" s="33"/>
    </row>
    <row r="1968" spans="1:7" ht="15.75">
      <c r="A1968" s="33"/>
      <c r="B1968" s="33"/>
      <c r="G1968" s="33"/>
    </row>
    <row r="1969" spans="1:7" ht="15.75">
      <c r="A1969" s="33"/>
      <c r="B1969" s="33"/>
      <c r="G1969" s="33"/>
    </row>
    <row r="1970" spans="1:7" ht="15.75">
      <c r="A1970" s="33"/>
      <c r="B1970" s="33"/>
      <c r="G1970" s="33"/>
    </row>
    <row r="1971" spans="1:7" ht="15.75">
      <c r="A1971" s="33"/>
      <c r="B1971" s="33"/>
      <c r="G1971" s="33"/>
    </row>
    <row r="1972" spans="1:7" ht="15.75">
      <c r="A1972" s="33"/>
      <c r="B1972" s="33"/>
      <c r="G1972" s="33"/>
    </row>
    <row r="1973" spans="1:7" ht="15.75">
      <c r="A1973" s="33"/>
      <c r="B1973" s="33"/>
      <c r="G1973" s="33"/>
    </row>
    <row r="1974" spans="1:7" ht="15.75">
      <c r="A1974" s="33"/>
      <c r="B1974" s="33"/>
      <c r="G1974" s="33"/>
    </row>
    <row r="1975" spans="1:7" ht="15.75">
      <c r="A1975" s="33"/>
      <c r="B1975" s="33"/>
      <c r="G1975" s="33"/>
    </row>
    <row r="1976" spans="1:7" ht="15.75">
      <c r="A1976" s="33"/>
      <c r="B1976" s="33"/>
      <c r="G1976" s="33"/>
    </row>
    <row r="1977" spans="1:7" ht="15.75">
      <c r="A1977" s="33"/>
      <c r="B1977" s="33"/>
      <c r="G1977" s="33"/>
    </row>
    <row r="1978" spans="1:7" ht="15.75">
      <c r="A1978" s="33"/>
      <c r="B1978" s="33"/>
      <c r="G1978" s="33"/>
    </row>
    <row r="1979" spans="1:7" ht="15.75">
      <c r="A1979" s="33"/>
      <c r="B1979" s="33"/>
      <c r="G1979" s="33"/>
    </row>
    <row r="1980" spans="1:7" ht="15.75">
      <c r="A1980" s="33"/>
      <c r="B1980" s="33"/>
      <c r="G1980" s="33"/>
    </row>
    <row r="1981" spans="1:7" ht="15.75">
      <c r="A1981" s="33"/>
      <c r="B1981" s="33"/>
      <c r="G1981" s="33"/>
    </row>
    <row r="1982" spans="1:7" ht="15.75">
      <c r="A1982" s="33"/>
      <c r="B1982" s="33"/>
      <c r="G1982" s="33"/>
    </row>
    <row r="1983" spans="1:7" ht="15.75">
      <c r="A1983" s="33"/>
      <c r="B1983" s="33"/>
      <c r="G1983" s="33"/>
    </row>
    <row r="1984" spans="1:7" ht="15.75">
      <c r="A1984" s="33"/>
      <c r="B1984" s="33"/>
      <c r="G1984" s="33"/>
    </row>
    <row r="1985" spans="1:7" ht="15.75">
      <c r="A1985" s="33"/>
      <c r="B1985" s="33"/>
      <c r="G1985" s="33"/>
    </row>
    <row r="1986" spans="1:7" ht="15.75">
      <c r="A1986" s="33"/>
      <c r="B1986" s="33"/>
      <c r="G1986" s="33"/>
    </row>
    <row r="1987" spans="1:7" ht="15.75">
      <c r="A1987" s="33"/>
      <c r="B1987" s="33"/>
      <c r="G1987" s="33"/>
    </row>
    <row r="1988" spans="1:7" ht="15.75">
      <c r="A1988" s="33"/>
      <c r="B1988" s="33"/>
      <c r="G1988" s="33"/>
    </row>
    <row r="1989" spans="1:7" ht="15.75">
      <c r="A1989" s="33"/>
      <c r="B1989" s="33"/>
      <c r="G1989" s="33"/>
    </row>
    <row r="1990" spans="1:7" ht="15.75">
      <c r="A1990" s="33"/>
      <c r="B1990" s="33"/>
      <c r="G1990" s="33"/>
    </row>
    <row r="1991" spans="1:7" ht="15.75">
      <c r="A1991" s="33"/>
      <c r="B1991" s="33"/>
      <c r="G1991" s="33"/>
    </row>
    <row r="1992" spans="1:7" ht="15.75">
      <c r="A1992" s="33"/>
      <c r="B1992" s="33"/>
      <c r="G1992" s="33"/>
    </row>
    <row r="1993" spans="1:7" ht="15.75">
      <c r="A1993" s="33"/>
      <c r="B1993" s="33"/>
      <c r="G1993" s="33"/>
    </row>
    <row r="1994" spans="1:7" ht="15.75">
      <c r="A1994" s="33"/>
      <c r="B1994" s="33"/>
      <c r="G1994" s="33"/>
    </row>
    <row r="1995" spans="1:7" ht="15.75">
      <c r="A1995" s="33"/>
      <c r="B1995" s="33"/>
      <c r="G1995" s="33"/>
    </row>
    <row r="1996" spans="1:7" ht="15.75">
      <c r="A1996" s="33"/>
      <c r="B1996" s="33"/>
      <c r="G1996" s="33"/>
    </row>
    <row r="1997" spans="1:7" ht="15.75">
      <c r="A1997" s="33"/>
      <c r="B1997" s="33"/>
      <c r="G1997" s="33"/>
    </row>
    <row r="1998" spans="1:7" ht="15.75">
      <c r="A1998" s="33"/>
      <c r="B1998" s="33"/>
      <c r="G1998" s="33"/>
    </row>
    <row r="1999" spans="1:7" ht="15.75">
      <c r="A1999" s="33"/>
      <c r="B1999" s="33"/>
      <c r="G1999" s="33"/>
    </row>
    <row r="2000" spans="1:7" ht="15.75">
      <c r="A2000" s="33"/>
      <c r="B2000" s="33"/>
      <c r="G2000" s="33"/>
    </row>
    <row r="2001" spans="1:7" ht="15.75">
      <c r="A2001" s="33"/>
      <c r="B2001" s="33"/>
      <c r="G2001" s="33"/>
    </row>
    <row r="2002" spans="1:7" ht="15.75">
      <c r="A2002" s="33"/>
      <c r="B2002" s="33"/>
      <c r="G2002" s="33"/>
    </row>
    <row r="2003" spans="1:7" ht="15.75">
      <c r="A2003" s="33"/>
      <c r="B2003" s="33"/>
      <c r="G2003" s="33"/>
    </row>
    <row r="2004" spans="1:7" ht="15.75">
      <c r="A2004" s="33"/>
      <c r="B2004" s="33"/>
      <c r="G2004" s="33"/>
    </row>
    <row r="2005" spans="1:7" ht="15.75">
      <c r="A2005" s="33"/>
      <c r="B2005" s="33"/>
      <c r="G2005" s="33"/>
    </row>
    <row r="2006" spans="1:7" ht="15.75">
      <c r="A2006" s="33"/>
      <c r="B2006" s="33"/>
      <c r="G2006" s="33"/>
    </row>
    <row r="2007" spans="1:7" ht="15.75">
      <c r="A2007" s="33"/>
      <c r="B2007" s="33"/>
      <c r="G2007" s="33"/>
    </row>
    <row r="2008" spans="1:7" ht="15.75">
      <c r="A2008" s="33"/>
      <c r="B2008" s="33"/>
      <c r="G2008" s="33"/>
    </row>
    <row r="2009" spans="1:7" ht="15.75">
      <c r="A2009" s="33"/>
      <c r="B2009" s="33"/>
      <c r="G2009" s="33"/>
    </row>
    <row r="2010" spans="1:7" ht="15.75">
      <c r="A2010" s="33"/>
      <c r="B2010" s="33"/>
      <c r="G2010" s="33"/>
    </row>
    <row r="2011" spans="1:7" ht="15.75">
      <c r="A2011" s="33"/>
      <c r="B2011" s="33"/>
      <c r="G2011" s="33"/>
    </row>
    <row r="2012" spans="1:7" ht="15.75">
      <c r="A2012" s="33"/>
      <c r="B2012" s="33"/>
      <c r="G2012" s="33"/>
    </row>
    <row r="2013" spans="1:7" ht="15.75">
      <c r="A2013" s="33"/>
      <c r="B2013" s="33"/>
      <c r="G2013" s="33"/>
    </row>
    <row r="2014" spans="1:7" ht="15.75">
      <c r="A2014" s="33"/>
      <c r="B2014" s="33"/>
      <c r="G2014" s="33"/>
    </row>
    <row r="2015" spans="1:7" ht="15.75">
      <c r="A2015" s="33"/>
      <c r="B2015" s="33"/>
      <c r="G2015" s="33"/>
    </row>
    <row r="2016" spans="1:7" ht="15.75">
      <c r="A2016" s="33"/>
      <c r="B2016" s="33"/>
      <c r="G2016" s="33"/>
    </row>
    <row r="2017" spans="1:7" ht="15.75">
      <c r="A2017" s="33"/>
      <c r="B2017" s="33"/>
      <c r="G2017" s="33"/>
    </row>
    <row r="2018" spans="1:7" ht="15.75">
      <c r="A2018" s="33"/>
      <c r="B2018" s="33"/>
      <c r="G2018" s="33"/>
    </row>
    <row r="2019" spans="1:7" ht="15.75">
      <c r="A2019" s="33"/>
      <c r="B2019" s="33"/>
      <c r="G2019" s="33"/>
    </row>
    <row r="2020" spans="1:7" ht="15.75">
      <c r="A2020" s="33"/>
      <c r="B2020" s="33"/>
      <c r="G2020" s="33"/>
    </row>
    <row r="2021" spans="1:7" ht="15.75">
      <c r="A2021" s="33"/>
      <c r="B2021" s="33"/>
      <c r="G2021" s="33"/>
    </row>
    <row r="2022" spans="1:7" ht="15.75">
      <c r="A2022" s="33"/>
      <c r="B2022" s="33"/>
      <c r="G2022" s="33"/>
    </row>
    <row r="2023" spans="1:7" ht="15.75">
      <c r="A2023" s="33"/>
      <c r="B2023" s="33"/>
      <c r="G2023" s="33"/>
    </row>
    <row r="2024" spans="1:7" ht="15.75">
      <c r="A2024" s="33"/>
      <c r="B2024" s="33"/>
      <c r="G2024" s="33"/>
    </row>
    <row r="2025" spans="1:7" ht="15.75">
      <c r="A2025" s="33"/>
      <c r="B2025" s="33"/>
      <c r="G2025" s="33"/>
    </row>
    <row r="2026" spans="1:7" ht="15.75">
      <c r="A2026" s="33"/>
      <c r="B2026" s="33"/>
      <c r="G2026" s="33"/>
    </row>
    <row r="2027" spans="1:7" ht="15.75">
      <c r="A2027" s="33"/>
      <c r="B2027" s="33"/>
      <c r="G2027" s="33"/>
    </row>
    <row r="2028" spans="1:7" ht="15.75">
      <c r="A2028" s="33"/>
      <c r="B2028" s="33"/>
      <c r="G2028" s="33"/>
    </row>
    <row r="2029" spans="1:7" ht="15.75">
      <c r="A2029" s="33"/>
      <c r="B2029" s="33"/>
      <c r="G2029" s="33"/>
    </row>
    <row r="2030" spans="1:7" ht="15.75">
      <c r="A2030" s="33"/>
      <c r="B2030" s="33"/>
      <c r="G2030" s="33"/>
    </row>
    <row r="2031" spans="1:7" ht="15.75">
      <c r="A2031" s="33"/>
      <c r="B2031" s="33"/>
      <c r="G2031" s="33"/>
    </row>
    <row r="2032" spans="1:7" ht="15.75">
      <c r="A2032" s="33"/>
      <c r="B2032" s="33"/>
      <c r="G2032" s="33"/>
    </row>
    <row r="2033" spans="1:7" ht="15.75">
      <c r="A2033" s="33"/>
      <c r="B2033" s="33"/>
      <c r="G2033" s="33"/>
    </row>
    <row r="2034" spans="1:7" ht="15.75">
      <c r="A2034" s="33"/>
      <c r="B2034" s="33"/>
      <c r="G2034" s="33"/>
    </row>
    <row r="2035" spans="1:7" ht="15.75">
      <c r="A2035" s="33"/>
      <c r="B2035" s="33"/>
      <c r="G2035" s="33"/>
    </row>
    <row r="2036" spans="1:7" ht="15.75">
      <c r="A2036" s="33"/>
      <c r="B2036" s="33"/>
      <c r="G2036" s="33"/>
    </row>
    <row r="2037" spans="1:7" ht="15.75">
      <c r="A2037" s="33"/>
      <c r="B2037" s="33"/>
      <c r="G2037" s="33"/>
    </row>
    <row r="2038" spans="1:7" ht="15.75">
      <c r="A2038" s="33"/>
      <c r="B2038" s="33"/>
      <c r="G2038" s="33"/>
    </row>
    <row r="2039" spans="1:7" ht="15.75">
      <c r="A2039" s="33"/>
      <c r="B2039" s="33"/>
      <c r="G2039" s="33"/>
    </row>
    <row r="2040" spans="1:7" ht="15.75">
      <c r="A2040" s="33"/>
      <c r="B2040" s="33"/>
      <c r="G2040" s="33"/>
    </row>
    <row r="2041" spans="1:7" ht="15.75">
      <c r="A2041" s="33"/>
      <c r="B2041" s="33"/>
      <c r="G2041" s="33"/>
    </row>
    <row r="2042" spans="1:7" ht="15.75">
      <c r="A2042" s="33"/>
      <c r="B2042" s="33"/>
      <c r="G2042" s="33"/>
    </row>
    <row r="2043" spans="1:7" ht="15.75">
      <c r="A2043" s="33"/>
      <c r="B2043" s="33"/>
      <c r="G2043" s="33"/>
    </row>
    <row r="2044" spans="1:7" ht="15.75">
      <c r="A2044" s="33"/>
      <c r="B2044" s="33"/>
      <c r="G2044" s="33"/>
    </row>
    <row r="2045" spans="1:7" ht="15.75">
      <c r="A2045" s="33"/>
      <c r="B2045" s="33"/>
      <c r="G2045" s="33"/>
    </row>
    <row r="2046" spans="1:7" ht="15.75">
      <c r="A2046" s="33"/>
      <c r="B2046" s="33"/>
      <c r="G2046" s="33"/>
    </row>
    <row r="2047" spans="1:7" ht="15.75">
      <c r="A2047" s="33"/>
      <c r="B2047" s="33"/>
      <c r="G2047" s="33"/>
    </row>
    <row r="2048" spans="1:7" ht="15.75">
      <c r="A2048" s="33"/>
      <c r="B2048" s="33"/>
      <c r="G2048" s="33"/>
    </row>
    <row r="2049" spans="1:7" ht="15.75">
      <c r="A2049" s="33"/>
      <c r="B2049" s="33"/>
      <c r="G2049" s="33"/>
    </row>
    <row r="2050" spans="1:7" ht="15.75">
      <c r="A2050" s="33"/>
      <c r="B2050" s="33"/>
      <c r="G2050" s="33"/>
    </row>
    <row r="2051" spans="1:7" ht="15.75">
      <c r="A2051" s="33"/>
      <c r="B2051" s="33"/>
      <c r="G2051" s="33"/>
    </row>
    <row r="2052" spans="1:7" ht="15.75">
      <c r="A2052" s="33"/>
      <c r="B2052" s="33"/>
      <c r="G2052" s="33"/>
    </row>
    <row r="2053" spans="1:7" ht="15.75">
      <c r="A2053" s="33"/>
      <c r="B2053" s="33"/>
      <c r="G2053" s="33"/>
    </row>
    <row r="2054" spans="1:7" ht="15.75">
      <c r="A2054" s="33"/>
      <c r="B2054" s="33"/>
      <c r="G2054" s="33"/>
    </row>
    <row r="2055" spans="1:7" ht="15.75">
      <c r="A2055" s="33"/>
      <c r="B2055" s="33"/>
      <c r="G2055" s="33"/>
    </row>
    <row r="2056" spans="1:7" ht="15.75">
      <c r="A2056" s="33"/>
      <c r="B2056" s="33"/>
      <c r="G2056" s="33"/>
    </row>
    <row r="2057" spans="1:7" ht="15.75">
      <c r="A2057" s="33"/>
      <c r="B2057" s="33"/>
      <c r="G2057" s="33"/>
    </row>
    <row r="2058" spans="1:7" ht="15.75">
      <c r="A2058" s="33"/>
      <c r="B2058" s="33"/>
      <c r="G2058" s="33"/>
    </row>
    <row r="2059" spans="1:7" ht="15.75">
      <c r="A2059" s="33"/>
      <c r="B2059" s="33"/>
      <c r="G2059" s="33"/>
    </row>
    <row r="2060" spans="1:7" ht="15.75">
      <c r="A2060" s="33"/>
      <c r="B2060" s="33"/>
      <c r="G2060" s="33"/>
    </row>
    <row r="2061" spans="1:7" ht="15.75">
      <c r="A2061" s="33"/>
      <c r="B2061" s="33"/>
      <c r="G2061" s="33"/>
    </row>
    <row r="2062" spans="1:7" ht="15.75">
      <c r="A2062" s="33"/>
      <c r="B2062" s="33"/>
      <c r="G2062" s="33"/>
    </row>
    <row r="2063" spans="1:7" ht="15.75">
      <c r="A2063" s="33"/>
      <c r="B2063" s="33"/>
      <c r="G2063" s="33"/>
    </row>
    <row r="2064" spans="1:7" ht="15.75">
      <c r="A2064" s="33"/>
      <c r="B2064" s="33"/>
      <c r="G2064" s="33"/>
    </row>
    <row r="2065" spans="1:7" ht="15.75">
      <c r="A2065" s="33"/>
      <c r="B2065" s="33"/>
      <c r="G2065" s="33"/>
    </row>
    <row r="2066" spans="1:7" ht="15.75">
      <c r="A2066" s="33"/>
      <c r="B2066" s="33"/>
      <c r="G2066" s="33"/>
    </row>
    <row r="2067" spans="1:7" ht="15.75">
      <c r="A2067" s="33"/>
      <c r="B2067" s="33"/>
      <c r="G2067" s="33"/>
    </row>
    <row r="2068" spans="1:7" ht="15.75">
      <c r="A2068" s="33"/>
      <c r="B2068" s="33"/>
      <c r="G2068" s="33"/>
    </row>
    <row r="2069" spans="1:7" ht="15.75">
      <c r="A2069" s="33"/>
      <c r="B2069" s="33"/>
      <c r="G2069" s="33"/>
    </row>
    <row r="2070" spans="1:7" ht="15.75">
      <c r="A2070" s="33"/>
      <c r="B2070" s="33"/>
      <c r="G2070" s="33"/>
    </row>
    <row r="2071" spans="1:7" ht="15.75">
      <c r="A2071" s="33"/>
      <c r="B2071" s="33"/>
      <c r="G2071" s="33"/>
    </row>
    <row r="2072" spans="1:7" ht="15.75">
      <c r="A2072" s="33"/>
      <c r="B2072" s="33"/>
      <c r="G2072" s="33"/>
    </row>
    <row r="2073" spans="1:7" ht="15.75">
      <c r="A2073" s="33"/>
      <c r="B2073" s="33"/>
      <c r="G2073" s="33"/>
    </row>
    <row r="2074" spans="1:7" ht="15.75">
      <c r="A2074" s="33"/>
      <c r="B2074" s="33"/>
      <c r="G2074" s="33"/>
    </row>
    <row r="2075" spans="1:7" ht="15.75">
      <c r="A2075" s="33"/>
      <c r="B2075" s="33"/>
      <c r="G2075" s="33"/>
    </row>
    <row r="2076" spans="1:7" ht="15.75">
      <c r="A2076" s="33"/>
      <c r="B2076" s="33"/>
      <c r="G2076" s="33"/>
    </row>
    <row r="2077" spans="1:7" ht="15.75">
      <c r="A2077" s="33"/>
      <c r="B2077" s="33"/>
      <c r="G2077" s="33"/>
    </row>
    <row r="2078" spans="1:7" ht="15.75">
      <c r="A2078" s="33"/>
      <c r="B2078" s="33"/>
      <c r="G2078" s="33"/>
    </row>
    <row r="2079" spans="1:7" ht="15.75">
      <c r="A2079" s="33"/>
      <c r="B2079" s="33"/>
      <c r="G2079" s="33"/>
    </row>
    <row r="2080" spans="1:7" ht="15.75">
      <c r="A2080" s="33"/>
      <c r="B2080" s="33"/>
      <c r="G2080" s="33"/>
    </row>
    <row r="2081" spans="1:7" ht="15.75">
      <c r="A2081" s="33"/>
      <c r="B2081" s="33"/>
      <c r="G2081" s="33"/>
    </row>
    <row r="2082" spans="1:7" ht="15.75">
      <c r="A2082" s="33"/>
      <c r="B2082" s="33"/>
      <c r="G2082" s="33"/>
    </row>
    <row r="2083" spans="1:7" ht="15.75">
      <c r="A2083" s="33"/>
      <c r="B2083" s="33"/>
      <c r="G2083" s="33"/>
    </row>
    <row r="2084" spans="1:7" ht="15.75">
      <c r="A2084" s="33"/>
      <c r="B2084" s="33"/>
      <c r="G2084" s="33"/>
    </row>
    <row r="2085" spans="1:7" ht="15.75">
      <c r="A2085" s="33"/>
      <c r="B2085" s="33"/>
      <c r="G2085" s="33"/>
    </row>
    <row r="2086" spans="1:7" ht="15.75">
      <c r="A2086" s="33"/>
      <c r="B2086" s="33"/>
      <c r="G2086" s="33"/>
    </row>
    <row r="2087" spans="1:7" ht="15.75">
      <c r="A2087" s="33"/>
      <c r="B2087" s="33"/>
      <c r="G2087" s="33"/>
    </row>
    <row r="2088" spans="1:7" ht="15.75">
      <c r="A2088" s="33"/>
      <c r="B2088" s="33"/>
      <c r="G2088" s="33"/>
    </row>
    <row r="2089" spans="1:7" ht="15.75">
      <c r="A2089" s="33"/>
      <c r="B2089" s="33"/>
      <c r="G2089" s="33"/>
    </row>
    <row r="2090" spans="1:7" ht="15.75">
      <c r="A2090" s="33"/>
      <c r="B2090" s="33"/>
      <c r="G2090" s="33"/>
    </row>
    <row r="2091" spans="1:7" ht="15.75">
      <c r="A2091" s="33"/>
      <c r="B2091" s="33"/>
      <c r="G2091" s="33"/>
    </row>
    <row r="2092" spans="1:7" ht="15.75">
      <c r="A2092" s="33"/>
      <c r="B2092" s="33"/>
      <c r="G2092" s="33"/>
    </row>
    <row r="2093" spans="1:7" ht="15.75">
      <c r="A2093" s="33"/>
      <c r="B2093" s="33"/>
      <c r="G2093" s="33"/>
    </row>
    <row r="2094" spans="1:7" ht="15.75">
      <c r="A2094" s="33"/>
      <c r="B2094" s="33"/>
      <c r="G2094" s="33"/>
    </row>
    <row r="2095" spans="1:7" ht="15.75">
      <c r="A2095" s="33"/>
      <c r="B2095" s="33"/>
      <c r="G2095" s="33"/>
    </row>
    <row r="2096" spans="1:7" ht="15.75">
      <c r="A2096" s="33"/>
      <c r="B2096" s="33"/>
      <c r="G2096" s="33"/>
    </row>
    <row r="2097" spans="1:7" ht="15.75">
      <c r="A2097" s="33"/>
      <c r="B2097" s="33"/>
      <c r="G2097" s="33"/>
    </row>
    <row r="2098" spans="1:7" ht="15.75">
      <c r="A2098" s="33"/>
      <c r="B2098" s="33"/>
      <c r="G2098" s="33"/>
    </row>
    <row r="2099" spans="1:7" ht="15.75">
      <c r="A2099" s="33"/>
      <c r="B2099" s="33"/>
      <c r="G2099" s="33"/>
    </row>
    <row r="2100" spans="1:7" ht="15.75">
      <c r="A2100" s="33"/>
      <c r="B2100" s="33"/>
      <c r="G2100" s="33"/>
    </row>
    <row r="2101" spans="1:7" ht="15.75">
      <c r="A2101" s="33"/>
      <c r="B2101" s="33"/>
      <c r="G2101" s="33"/>
    </row>
    <row r="2102" spans="1:7" ht="15.75">
      <c r="A2102" s="33"/>
      <c r="B2102" s="33"/>
      <c r="G2102" s="33"/>
    </row>
    <row r="2103" spans="1:7" ht="15.75">
      <c r="A2103" s="33"/>
      <c r="B2103" s="33"/>
      <c r="G2103" s="33"/>
    </row>
    <row r="2104" spans="1:7" ht="15.75">
      <c r="A2104" s="33"/>
      <c r="B2104" s="33"/>
      <c r="G2104" s="33"/>
    </row>
    <row r="2105" spans="1:7" ht="15.75">
      <c r="A2105" s="33"/>
      <c r="B2105" s="33"/>
      <c r="G2105" s="33"/>
    </row>
    <row r="2106" spans="1:7" ht="15.75">
      <c r="A2106" s="33"/>
      <c r="B2106" s="33"/>
      <c r="G2106" s="33"/>
    </row>
    <row r="2107" spans="1:7" ht="15.75">
      <c r="A2107" s="33"/>
      <c r="B2107" s="33"/>
      <c r="G2107" s="33"/>
    </row>
    <row r="2108" spans="1:7" ht="15.75">
      <c r="A2108" s="33"/>
      <c r="B2108" s="33"/>
      <c r="G2108" s="33"/>
    </row>
    <row r="2109" spans="1:7" ht="15.75">
      <c r="A2109" s="33"/>
      <c r="B2109" s="33"/>
      <c r="G2109" s="33"/>
    </row>
    <row r="2110" spans="1:7" ht="15.75">
      <c r="A2110" s="33"/>
      <c r="B2110" s="33"/>
      <c r="G2110" s="33"/>
    </row>
    <row r="2111" spans="1:7" ht="15.75">
      <c r="A2111" s="33"/>
      <c r="B2111" s="33"/>
      <c r="G2111" s="33"/>
    </row>
    <row r="2112" spans="1:7" ht="15.75">
      <c r="A2112" s="33"/>
      <c r="B2112" s="33"/>
      <c r="G2112" s="33"/>
    </row>
    <row r="2113" spans="1:7" ht="15.75">
      <c r="A2113" s="33"/>
      <c r="B2113" s="33"/>
      <c r="G2113" s="33"/>
    </row>
    <row r="2114" spans="1:7" ht="15.75">
      <c r="A2114" s="33"/>
      <c r="B2114" s="33"/>
      <c r="G2114" s="33"/>
    </row>
    <row r="2115" spans="1:7" ht="15.75">
      <c r="A2115" s="33"/>
      <c r="B2115" s="33"/>
      <c r="G2115" s="33"/>
    </row>
    <row r="2116" spans="1:7" ht="15.75">
      <c r="A2116" s="33"/>
      <c r="B2116" s="33"/>
      <c r="G2116" s="33"/>
    </row>
    <row r="2117" spans="1:7" ht="15.75">
      <c r="A2117" s="33"/>
      <c r="B2117" s="33"/>
      <c r="G2117" s="33"/>
    </row>
    <row r="2118" spans="1:7" ht="15.75">
      <c r="A2118" s="33"/>
      <c r="B2118" s="33"/>
      <c r="G2118" s="33"/>
    </row>
    <row r="2119" spans="1:7" ht="15.75">
      <c r="A2119" s="33"/>
      <c r="B2119" s="33"/>
      <c r="G2119" s="33"/>
    </row>
    <row r="2120" spans="1:7" ht="15.75">
      <c r="A2120" s="33"/>
      <c r="B2120" s="33"/>
      <c r="G2120" s="33"/>
    </row>
    <row r="2121" spans="1:7" ht="15.75">
      <c r="A2121" s="33"/>
      <c r="B2121" s="33"/>
      <c r="G2121" s="33"/>
    </row>
    <row r="2122" spans="1:7" ht="15.75">
      <c r="A2122" s="33"/>
      <c r="B2122" s="33"/>
      <c r="G2122" s="33"/>
    </row>
    <row r="2123" spans="1:7" ht="15.75">
      <c r="A2123" s="33"/>
      <c r="B2123" s="33"/>
      <c r="G2123" s="33"/>
    </row>
    <row r="2124" spans="1:7" ht="15.75">
      <c r="A2124" s="33"/>
      <c r="B2124" s="33"/>
      <c r="G2124" s="33"/>
    </row>
    <row r="2125" spans="1:7" ht="15.75">
      <c r="A2125" s="33"/>
      <c r="B2125" s="33"/>
      <c r="G2125" s="33"/>
    </row>
    <row r="2126" spans="1:7" ht="15.75">
      <c r="A2126" s="33"/>
      <c r="B2126" s="33"/>
      <c r="G2126" s="33"/>
    </row>
    <row r="2127" spans="1:7" ht="15.75">
      <c r="A2127" s="33"/>
      <c r="B2127" s="33"/>
      <c r="G2127" s="33"/>
    </row>
    <row r="2128" spans="1:7" ht="15.75">
      <c r="A2128" s="33"/>
      <c r="B2128" s="33"/>
      <c r="G2128" s="33"/>
    </row>
    <row r="2129" spans="1:7" ht="15.75">
      <c r="A2129" s="33"/>
      <c r="B2129" s="33"/>
      <c r="G2129" s="33"/>
    </row>
    <row r="2130" spans="1:7" ht="15.75">
      <c r="A2130" s="33"/>
      <c r="B2130" s="33"/>
      <c r="G2130" s="33"/>
    </row>
    <row r="2131" spans="1:7" ht="15.75">
      <c r="A2131" s="33"/>
      <c r="B2131" s="33"/>
      <c r="G2131" s="33"/>
    </row>
    <row r="2132" spans="1:7" ht="15.75">
      <c r="A2132" s="33"/>
      <c r="B2132" s="33"/>
      <c r="G2132" s="33"/>
    </row>
    <row r="2133" spans="1:7" ht="15.75">
      <c r="A2133" s="33"/>
      <c r="B2133" s="33"/>
      <c r="G2133" s="33"/>
    </row>
    <row r="2134" spans="1:7" ht="15.75">
      <c r="A2134" s="33"/>
      <c r="B2134" s="33"/>
      <c r="G2134" s="33"/>
    </row>
    <row r="2135" spans="1:7" ht="15.75">
      <c r="A2135" s="33"/>
      <c r="B2135" s="33"/>
      <c r="G2135" s="33"/>
    </row>
    <row r="2136" spans="1:7" ht="15.75">
      <c r="A2136" s="33"/>
      <c r="B2136" s="33"/>
      <c r="G2136" s="33"/>
    </row>
    <row r="2137" spans="1:7" ht="15.75">
      <c r="A2137" s="33"/>
      <c r="B2137" s="33"/>
      <c r="G2137" s="33"/>
    </row>
    <row r="2138" spans="1:7" ht="15.75">
      <c r="A2138" s="33"/>
      <c r="B2138" s="33"/>
      <c r="G2138" s="33"/>
    </row>
    <row r="2139" spans="1:7" ht="15.75">
      <c r="A2139" s="33"/>
      <c r="B2139" s="33"/>
      <c r="G2139" s="33"/>
    </row>
    <row r="2140" spans="1:7" ht="15.75">
      <c r="A2140" s="33"/>
      <c r="B2140" s="33"/>
      <c r="G2140" s="33"/>
    </row>
    <row r="2141" spans="1:7" ht="15.75">
      <c r="A2141" s="33"/>
      <c r="B2141" s="33"/>
      <c r="G2141" s="33"/>
    </row>
    <row r="2142" spans="1:7" ht="15.75">
      <c r="A2142" s="33"/>
      <c r="B2142" s="33"/>
      <c r="G2142" s="33"/>
    </row>
    <row r="2143" spans="1:7" ht="15.75">
      <c r="A2143" s="33"/>
      <c r="B2143" s="33"/>
      <c r="G2143" s="33"/>
    </row>
    <row r="2144" spans="1:7" ht="15.75">
      <c r="A2144" s="33"/>
      <c r="B2144" s="33"/>
      <c r="G2144" s="33"/>
    </row>
    <row r="2145" spans="1:7" ht="15.75">
      <c r="A2145" s="33"/>
      <c r="B2145" s="33"/>
      <c r="G2145" s="33"/>
    </row>
    <row r="2146" spans="1:7" ht="15.75">
      <c r="A2146" s="33"/>
      <c r="B2146" s="33"/>
      <c r="G2146" s="33"/>
    </row>
    <row r="2147" spans="1:7" ht="15.75">
      <c r="A2147" s="33"/>
      <c r="B2147" s="33"/>
      <c r="G2147" s="33"/>
    </row>
    <row r="2148" spans="1:7" ht="15.75">
      <c r="A2148" s="33"/>
      <c r="B2148" s="33"/>
      <c r="G2148" s="33"/>
    </row>
    <row r="2149" spans="1:7" ht="15.75">
      <c r="A2149" s="33"/>
      <c r="B2149" s="33"/>
      <c r="G2149" s="33"/>
    </row>
    <row r="2150" spans="1:7" ht="15.75">
      <c r="A2150" s="33"/>
      <c r="B2150" s="33"/>
      <c r="G2150" s="33"/>
    </row>
    <row r="2151" spans="1:7" ht="15.75">
      <c r="A2151" s="33"/>
      <c r="B2151" s="33"/>
      <c r="G2151" s="33"/>
    </row>
    <row r="2152" spans="1:7" ht="15.75">
      <c r="A2152" s="33"/>
      <c r="B2152" s="33"/>
      <c r="G2152" s="33"/>
    </row>
    <row r="2153" spans="1:7" ht="15.75">
      <c r="A2153" s="33"/>
      <c r="B2153" s="33"/>
      <c r="G2153" s="33"/>
    </row>
    <row r="2154" spans="1:7" ht="15.75">
      <c r="A2154" s="33"/>
      <c r="B2154" s="33"/>
      <c r="G2154" s="33"/>
    </row>
    <row r="2155" spans="1:7" ht="15.75">
      <c r="A2155" s="33"/>
      <c r="B2155" s="33"/>
      <c r="G2155" s="33"/>
    </row>
    <row r="2156" spans="1:7" ht="15.75">
      <c r="A2156" s="33"/>
      <c r="B2156" s="33"/>
      <c r="G2156" s="33"/>
    </row>
    <row r="2157" spans="1:7" ht="15.75">
      <c r="A2157" s="33"/>
      <c r="B2157" s="33"/>
      <c r="G2157" s="33"/>
    </row>
    <row r="2158" spans="1:7" ht="15.75">
      <c r="A2158" s="33"/>
      <c r="B2158" s="33"/>
      <c r="G2158" s="33"/>
    </row>
    <row r="2159" spans="1:7" ht="15.75">
      <c r="A2159" s="33"/>
      <c r="B2159" s="33"/>
      <c r="G2159" s="33"/>
    </row>
    <row r="2160" spans="1:7" ht="15.75">
      <c r="A2160" s="33"/>
      <c r="B2160" s="33"/>
      <c r="G2160" s="33"/>
    </row>
    <row r="2161" spans="1:7" ht="15.75">
      <c r="A2161" s="33"/>
      <c r="B2161" s="33"/>
      <c r="G2161" s="33"/>
    </row>
    <row r="2162" spans="1:7" ht="15.75">
      <c r="A2162" s="33"/>
      <c r="B2162" s="33"/>
      <c r="G2162" s="33"/>
    </row>
    <row r="2163" spans="1:7" ht="15.75">
      <c r="A2163" s="33"/>
      <c r="B2163" s="33"/>
      <c r="G2163" s="33"/>
    </row>
    <row r="2164" spans="1:7" ht="15.75">
      <c r="A2164" s="33"/>
      <c r="B2164" s="33"/>
      <c r="G2164" s="33"/>
    </row>
    <row r="2165" spans="1:7" ht="15.75">
      <c r="A2165" s="33"/>
      <c r="B2165" s="33"/>
      <c r="G2165" s="33"/>
    </row>
    <row r="2166" spans="1:7" ht="15.75">
      <c r="A2166" s="33"/>
      <c r="B2166" s="33"/>
      <c r="G2166" s="33"/>
    </row>
    <row r="2167" spans="1:7" ht="15.75">
      <c r="A2167" s="33"/>
      <c r="B2167" s="33"/>
      <c r="G2167" s="33"/>
    </row>
    <row r="2168" spans="1:7" ht="15.75">
      <c r="A2168" s="33"/>
      <c r="B2168" s="33"/>
      <c r="G2168" s="33"/>
    </row>
    <row r="2169" spans="1:7" ht="15.75">
      <c r="A2169" s="33"/>
      <c r="B2169" s="33"/>
      <c r="G2169" s="33"/>
    </row>
    <row r="2170" spans="1:7" ht="15.75">
      <c r="A2170" s="33"/>
      <c r="B2170" s="33"/>
      <c r="G2170" s="33"/>
    </row>
    <row r="2171" spans="1:7" ht="15.75">
      <c r="A2171" s="33"/>
      <c r="B2171" s="33"/>
      <c r="G2171" s="33"/>
    </row>
    <row r="2172" spans="1:7" ht="15.75">
      <c r="A2172" s="33"/>
      <c r="B2172" s="33"/>
      <c r="G2172" s="33"/>
    </row>
    <row r="2173" spans="1:7" ht="15.75">
      <c r="A2173" s="33"/>
      <c r="B2173" s="33"/>
      <c r="G2173" s="33"/>
    </row>
    <row r="2174" spans="1:7" ht="15.75">
      <c r="A2174" s="33"/>
      <c r="B2174" s="33"/>
      <c r="G2174" s="33"/>
    </row>
    <row r="2175" spans="1:7" ht="15.75">
      <c r="A2175" s="33"/>
      <c r="B2175" s="33"/>
      <c r="G2175" s="33"/>
    </row>
    <row r="2176" spans="1:7" ht="15.75">
      <c r="A2176" s="33"/>
      <c r="B2176" s="33"/>
      <c r="G2176" s="33"/>
    </row>
    <row r="2177" spans="1:7" ht="15.75">
      <c r="A2177" s="33"/>
      <c r="B2177" s="33"/>
      <c r="G2177" s="33"/>
    </row>
    <row r="2178" spans="1:7" ht="15.75">
      <c r="A2178" s="33"/>
      <c r="B2178" s="33"/>
      <c r="G2178" s="33"/>
    </row>
    <row r="2179" spans="1:7" ht="15.75">
      <c r="A2179" s="33"/>
      <c r="B2179" s="33"/>
      <c r="G2179" s="33"/>
    </row>
    <row r="2180" spans="1:7" ht="15.75">
      <c r="A2180" s="33"/>
      <c r="B2180" s="33"/>
      <c r="G2180" s="33"/>
    </row>
    <row r="2181" spans="1:7" ht="15.75">
      <c r="A2181" s="33"/>
      <c r="B2181" s="33"/>
      <c r="G2181" s="33"/>
    </row>
    <row r="2182" spans="1:7" ht="15.75">
      <c r="A2182" s="33"/>
      <c r="B2182" s="33"/>
      <c r="G2182" s="33"/>
    </row>
    <row r="2183" spans="1:7" ht="15.75">
      <c r="A2183" s="33"/>
      <c r="B2183" s="33"/>
      <c r="G2183" s="33"/>
    </row>
    <row r="2184" spans="1:7" ht="15.75">
      <c r="A2184" s="33"/>
      <c r="B2184" s="33"/>
      <c r="G2184" s="33"/>
    </row>
    <row r="2185" spans="1:7" ht="15.75">
      <c r="A2185" s="33"/>
      <c r="B2185" s="33"/>
      <c r="G2185" s="33"/>
    </row>
    <row r="2186" spans="1:7" ht="15.75">
      <c r="A2186" s="33"/>
      <c r="B2186" s="33"/>
      <c r="G2186" s="33"/>
    </row>
    <row r="2187" spans="1:7" ht="15.75">
      <c r="A2187" s="33"/>
      <c r="B2187" s="33"/>
      <c r="G2187" s="33"/>
    </row>
    <row r="2188" spans="1:7" ht="15.75">
      <c r="A2188" s="33"/>
      <c r="B2188" s="33"/>
      <c r="G2188" s="33"/>
    </row>
    <row r="2189" spans="1:7" ht="15.75">
      <c r="A2189" s="33"/>
      <c r="B2189" s="33"/>
      <c r="G2189" s="33"/>
    </row>
    <row r="2190" spans="1:7" ht="15.75">
      <c r="A2190" s="33"/>
      <c r="B2190" s="33"/>
      <c r="G2190" s="33"/>
    </row>
    <row r="2191" spans="1:7" ht="15.75">
      <c r="A2191" s="33"/>
      <c r="B2191" s="33"/>
      <c r="G2191" s="33"/>
    </row>
    <row r="2192" spans="1:7" ht="15.75">
      <c r="A2192" s="33"/>
      <c r="B2192" s="33"/>
      <c r="G2192" s="33"/>
    </row>
    <row r="2193" spans="1:7" ht="15.75">
      <c r="A2193" s="33"/>
      <c r="B2193" s="33"/>
      <c r="G2193" s="33"/>
    </row>
    <row r="2194" spans="1:7" ht="15.75">
      <c r="A2194" s="33"/>
      <c r="B2194" s="33"/>
      <c r="G2194" s="33"/>
    </row>
    <row r="2195" spans="1:7" ht="15.75">
      <c r="A2195" s="33"/>
      <c r="B2195" s="33"/>
      <c r="G2195" s="33"/>
    </row>
    <row r="2196" spans="1:7" ht="15.75">
      <c r="A2196" s="33"/>
      <c r="B2196" s="33"/>
      <c r="G2196" s="33"/>
    </row>
    <row r="2197" spans="1:7" ht="15.75">
      <c r="A2197" s="33"/>
      <c r="B2197" s="33"/>
      <c r="G2197" s="33"/>
    </row>
    <row r="2198" spans="1:7" ht="15.75">
      <c r="A2198" s="33"/>
      <c r="B2198" s="33"/>
      <c r="G2198" s="33"/>
    </row>
    <row r="2199" spans="1:7" ht="15.75">
      <c r="A2199" s="33"/>
      <c r="B2199" s="33"/>
      <c r="G2199" s="33"/>
    </row>
    <row r="2200" spans="1:7" ht="15.75">
      <c r="A2200" s="33"/>
      <c r="B2200" s="33"/>
      <c r="G2200" s="33"/>
    </row>
    <row r="2201" spans="1:7" ht="15.75">
      <c r="A2201" s="33"/>
      <c r="B2201" s="33"/>
      <c r="G2201" s="33"/>
    </row>
    <row r="2202" spans="1:7" ht="15.75">
      <c r="A2202" s="33"/>
      <c r="B2202" s="33"/>
      <c r="G2202" s="33"/>
    </row>
    <row r="2203" spans="1:7" ht="15.75">
      <c r="A2203" s="33"/>
      <c r="B2203" s="33"/>
      <c r="G2203" s="33"/>
    </row>
    <row r="2204" spans="1:7" ht="15.75">
      <c r="A2204" s="33"/>
      <c r="B2204" s="33"/>
      <c r="G2204" s="33"/>
    </row>
    <row r="2205" spans="1:7" ht="15.75">
      <c r="A2205" s="33"/>
      <c r="B2205" s="33"/>
      <c r="G2205" s="33"/>
    </row>
    <row r="2206" spans="1:7" ht="15.75">
      <c r="A2206" s="33"/>
      <c r="B2206" s="33"/>
      <c r="G2206" s="33"/>
    </row>
    <row r="2207" spans="1:7" ht="15.75">
      <c r="A2207" s="33"/>
      <c r="B2207" s="33"/>
      <c r="G2207" s="33"/>
    </row>
    <row r="2208" spans="1:7" ht="15.75">
      <c r="A2208" s="33"/>
      <c r="B2208" s="33"/>
      <c r="G2208" s="33"/>
    </row>
    <row r="2209" spans="1:7" ht="15.75">
      <c r="A2209" s="33"/>
      <c r="B2209" s="33"/>
      <c r="G2209" s="33"/>
    </row>
    <row r="2210" spans="1:7" ht="15.75">
      <c r="A2210" s="33"/>
      <c r="B2210" s="33"/>
      <c r="G2210" s="33"/>
    </row>
    <row r="2211" spans="1:7" ht="15.75">
      <c r="A2211" s="33"/>
      <c r="B2211" s="33"/>
      <c r="G2211" s="33"/>
    </row>
    <row r="2212" spans="1:7" ht="15.75">
      <c r="A2212" s="33"/>
      <c r="B2212" s="33"/>
      <c r="G2212" s="33"/>
    </row>
    <row r="2213" spans="1:7" ht="15.75">
      <c r="A2213" s="33"/>
      <c r="B2213" s="33"/>
      <c r="G2213" s="33"/>
    </row>
    <row r="2214" spans="1:7" ht="15.75">
      <c r="A2214" s="33"/>
      <c r="B2214" s="33"/>
      <c r="G2214" s="33"/>
    </row>
    <row r="2215" spans="1:7" ht="15.75">
      <c r="A2215" s="33"/>
      <c r="B2215" s="33"/>
      <c r="G2215" s="33"/>
    </row>
    <row r="2216" spans="1:7" ht="15.75">
      <c r="A2216" s="33"/>
      <c r="B2216" s="33"/>
      <c r="G2216" s="33"/>
    </row>
    <row r="2217" spans="1:7" ht="15.75">
      <c r="A2217" s="33"/>
      <c r="B2217" s="33"/>
      <c r="G2217" s="33"/>
    </row>
    <row r="2218" spans="1:7" ht="15.75">
      <c r="A2218" s="33"/>
      <c r="B2218" s="33"/>
      <c r="G2218" s="33"/>
    </row>
    <row r="2219" spans="1:7" ht="15.75">
      <c r="A2219" s="33"/>
      <c r="B2219" s="33"/>
      <c r="G2219" s="33"/>
    </row>
    <row r="2220" spans="1:7" ht="15.75">
      <c r="A2220" s="33"/>
      <c r="B2220" s="33"/>
      <c r="G2220" s="33"/>
    </row>
    <row r="2221" spans="1:7" ht="15.75">
      <c r="A2221" s="33"/>
      <c r="B2221" s="33"/>
      <c r="G2221" s="33"/>
    </row>
    <row r="2222" spans="1:7" ht="15.75">
      <c r="A2222" s="33"/>
      <c r="B2222" s="33"/>
      <c r="G2222" s="33"/>
    </row>
    <row r="2223" spans="1:7" ht="15.75">
      <c r="A2223" s="33"/>
      <c r="B2223" s="33"/>
      <c r="G2223" s="33"/>
    </row>
    <row r="2224" spans="1:7" ht="15.75">
      <c r="A2224" s="33"/>
      <c r="B2224" s="33"/>
      <c r="G2224" s="33"/>
    </row>
    <row r="2225" spans="1:7" ht="15.75">
      <c r="A2225" s="33"/>
      <c r="B2225" s="33"/>
      <c r="G2225" s="33"/>
    </row>
    <row r="2226" spans="1:7" ht="15.75">
      <c r="A2226" s="33"/>
      <c r="B2226" s="33"/>
      <c r="G2226" s="33"/>
    </row>
    <row r="2227" spans="1:7" ht="15.75">
      <c r="A2227" s="33"/>
      <c r="B2227" s="33"/>
      <c r="G2227" s="33"/>
    </row>
    <row r="2228" spans="1:7" ht="15.75">
      <c r="A2228" s="33"/>
      <c r="B2228" s="33"/>
      <c r="G2228" s="33"/>
    </row>
    <row r="2229" spans="1:7" ht="15.75">
      <c r="A2229" s="33"/>
      <c r="B2229" s="33"/>
      <c r="G2229" s="33"/>
    </row>
    <row r="2230" spans="1:7" ht="15.75">
      <c r="A2230" s="33"/>
      <c r="B2230" s="33"/>
      <c r="G2230" s="33"/>
    </row>
    <row r="2231" spans="1:7" ht="15.75">
      <c r="A2231" s="33"/>
      <c r="B2231" s="33"/>
      <c r="G2231" s="33"/>
    </row>
    <row r="2232" spans="1:7" ht="15.75">
      <c r="A2232" s="33"/>
      <c r="B2232" s="33"/>
      <c r="G2232" s="33"/>
    </row>
    <row r="2233" spans="1:7" ht="15.75">
      <c r="A2233" s="33"/>
      <c r="B2233" s="33"/>
      <c r="G2233" s="33"/>
    </row>
    <row r="2234" spans="1:7" ht="15.75">
      <c r="A2234" s="33"/>
      <c r="B2234" s="33"/>
      <c r="G2234" s="33"/>
    </row>
    <row r="2235" spans="1:7" ht="15.75">
      <c r="A2235" s="33"/>
      <c r="B2235" s="33"/>
      <c r="G2235" s="33"/>
    </row>
    <row r="2236" spans="1:7" ht="15.75">
      <c r="A2236" s="33"/>
      <c r="B2236" s="33"/>
      <c r="G2236" s="33"/>
    </row>
    <row r="2237" spans="1:7" ht="15.75">
      <c r="A2237" s="33"/>
      <c r="B2237" s="33"/>
      <c r="G2237" s="33"/>
    </row>
    <row r="2238" spans="1:7" ht="15.75">
      <c r="A2238" s="33"/>
      <c r="B2238" s="33"/>
      <c r="G2238" s="33"/>
    </row>
    <row r="2239" spans="1:7" ht="15.75">
      <c r="A2239" s="33"/>
      <c r="B2239" s="33"/>
      <c r="G2239" s="33"/>
    </row>
    <row r="2240" spans="1:7" ht="15.75">
      <c r="A2240" s="33"/>
      <c r="B2240" s="33"/>
      <c r="G2240" s="33"/>
    </row>
    <row r="2241" spans="1:7" ht="15.75">
      <c r="A2241" s="33"/>
      <c r="B2241" s="33"/>
      <c r="G2241" s="33"/>
    </row>
    <row r="2242" spans="1:7" ht="15.75">
      <c r="A2242" s="33"/>
      <c r="B2242" s="33"/>
      <c r="G2242" s="33"/>
    </row>
    <row r="2243" spans="1:7" ht="15.75">
      <c r="A2243" s="33"/>
      <c r="B2243" s="33"/>
      <c r="G2243" s="33"/>
    </row>
    <row r="2244" spans="1:7" ht="15.75">
      <c r="A2244" s="33"/>
      <c r="B2244" s="33"/>
      <c r="G2244" s="33"/>
    </row>
    <row r="2245" spans="1:7" ht="15.75">
      <c r="A2245" s="33"/>
      <c r="B2245" s="33"/>
      <c r="G2245" s="33"/>
    </row>
    <row r="2246" spans="1:7" ht="15.75">
      <c r="A2246" s="33"/>
      <c r="B2246" s="33"/>
      <c r="G2246" s="33"/>
    </row>
    <row r="2247" spans="1:7" ht="15.75">
      <c r="A2247" s="33"/>
      <c r="B2247" s="33"/>
      <c r="G2247" s="33"/>
    </row>
    <row r="2248" spans="1:7" ht="15.75">
      <c r="A2248" s="33"/>
      <c r="B2248" s="33"/>
      <c r="G2248" s="33"/>
    </row>
    <row r="2249" spans="1:7" ht="15.75">
      <c r="A2249" s="33"/>
      <c r="B2249" s="33"/>
      <c r="G2249" s="33"/>
    </row>
    <row r="2250" spans="1:7" ht="15.75">
      <c r="A2250" s="33"/>
      <c r="B2250" s="33"/>
      <c r="G2250" s="33"/>
    </row>
    <row r="2251" spans="1:7" ht="15.75">
      <c r="A2251" s="33"/>
      <c r="B2251" s="33"/>
      <c r="G2251" s="33"/>
    </row>
    <row r="2252" spans="1:7" ht="15.75">
      <c r="A2252" s="33"/>
      <c r="B2252" s="33"/>
      <c r="G2252" s="33"/>
    </row>
    <row r="2253" spans="1:7" ht="15.75">
      <c r="A2253" s="33"/>
      <c r="B2253" s="33"/>
      <c r="G2253" s="33"/>
    </row>
    <row r="2254" spans="1:7" ht="15.75">
      <c r="A2254" s="33"/>
      <c r="B2254" s="33"/>
      <c r="G2254" s="33"/>
    </row>
    <row r="2255" spans="1:7" ht="15.75">
      <c r="A2255" s="33"/>
      <c r="B2255" s="33"/>
      <c r="G2255" s="33"/>
    </row>
    <row r="2256" spans="1:7" ht="15.75">
      <c r="A2256" s="33"/>
      <c r="B2256" s="33"/>
      <c r="G2256" s="33"/>
    </row>
    <row r="2257" spans="1:7" ht="15.75">
      <c r="A2257" s="33"/>
      <c r="B2257" s="33"/>
      <c r="G2257" s="33"/>
    </row>
    <row r="2258" spans="1:7" ht="15.75">
      <c r="A2258" s="33"/>
      <c r="B2258" s="33"/>
      <c r="G2258" s="33"/>
    </row>
    <row r="2259" spans="1:7" ht="15.75">
      <c r="A2259" s="33"/>
      <c r="B2259" s="33"/>
      <c r="G2259" s="33"/>
    </row>
    <row r="2260" spans="1:7" ht="15.75">
      <c r="A2260" s="33"/>
      <c r="B2260" s="33"/>
      <c r="G2260" s="33"/>
    </row>
    <row r="2261" spans="1:7" ht="15.75">
      <c r="A2261" s="33"/>
      <c r="B2261" s="33"/>
      <c r="G2261" s="33"/>
    </row>
    <row r="2262" spans="1:7" ht="15.75">
      <c r="A2262" s="33"/>
      <c r="B2262" s="33"/>
      <c r="G2262" s="33"/>
    </row>
    <row r="2263" spans="1:7" ht="15.75">
      <c r="A2263" s="33"/>
      <c r="B2263" s="33"/>
      <c r="G2263" s="33"/>
    </row>
    <row r="2264" spans="1:7" ht="15.75">
      <c r="A2264" s="33"/>
      <c r="B2264" s="33"/>
      <c r="G2264" s="33"/>
    </row>
    <row r="2265" spans="1:7" ht="15.75">
      <c r="A2265" s="33"/>
      <c r="B2265" s="33"/>
      <c r="G2265" s="33"/>
    </row>
    <row r="2266" spans="1:7" ht="15.75">
      <c r="A2266" s="33"/>
      <c r="B2266" s="33"/>
      <c r="G2266" s="33"/>
    </row>
    <row r="2267" spans="1:7" ht="15.75">
      <c r="A2267" s="33"/>
      <c r="B2267" s="33"/>
      <c r="G2267" s="33"/>
    </row>
    <row r="2268" spans="1:7" ht="15.75">
      <c r="A2268" s="33"/>
      <c r="B2268" s="33"/>
      <c r="G2268" s="33"/>
    </row>
    <row r="2269" spans="1:7" ht="15.75">
      <c r="A2269" s="33"/>
      <c r="B2269" s="33"/>
      <c r="G2269" s="33"/>
    </row>
    <row r="2270" spans="1:7" ht="15.75">
      <c r="A2270" s="33"/>
      <c r="B2270" s="33"/>
      <c r="G2270" s="33"/>
    </row>
    <row r="2271" spans="1:7" ht="15.75">
      <c r="A2271" s="33"/>
      <c r="B2271" s="33"/>
      <c r="G2271" s="33"/>
    </row>
    <row r="2272" spans="1:7" ht="15.75">
      <c r="A2272" s="33"/>
      <c r="B2272" s="33"/>
      <c r="G2272" s="33"/>
    </row>
    <row r="2273" spans="1:7" ht="15.75">
      <c r="A2273" s="33"/>
      <c r="B2273" s="33"/>
      <c r="G2273" s="33"/>
    </row>
    <row r="2274" spans="1:7" ht="15.75">
      <c r="A2274" s="33"/>
      <c r="B2274" s="33"/>
      <c r="G2274" s="33"/>
    </row>
    <row r="2275" spans="1:7" ht="15.75">
      <c r="A2275" s="33"/>
      <c r="B2275" s="33"/>
      <c r="G2275" s="33"/>
    </row>
    <row r="2276" spans="1:7" ht="15.75">
      <c r="A2276" s="33"/>
      <c r="B2276" s="33"/>
      <c r="G2276" s="33"/>
    </row>
    <row r="2277" spans="1:7" ht="15.75">
      <c r="A2277" s="33"/>
      <c r="B2277" s="33"/>
      <c r="G2277" s="33"/>
    </row>
    <row r="2278" spans="1:7" ht="15.75">
      <c r="A2278" s="33"/>
      <c r="B2278" s="33"/>
      <c r="G2278" s="33"/>
    </row>
    <row r="2279" spans="1:7" ht="15.75">
      <c r="A2279" s="33"/>
      <c r="B2279" s="33"/>
      <c r="G2279" s="33"/>
    </row>
    <row r="2280" spans="1:7" ht="15.75">
      <c r="A2280" s="33"/>
      <c r="B2280" s="33"/>
      <c r="G2280" s="33"/>
    </row>
    <row r="2281" spans="1:7" ht="15.75">
      <c r="A2281" s="33"/>
      <c r="B2281" s="33"/>
      <c r="G2281" s="33"/>
    </row>
    <row r="2282" spans="1:7" ht="15.75">
      <c r="A2282" s="33"/>
      <c r="B2282" s="33"/>
      <c r="G2282" s="33"/>
    </row>
    <row r="2283" spans="1:7" ht="15.75">
      <c r="A2283" s="33"/>
      <c r="B2283" s="33"/>
      <c r="G2283" s="33"/>
    </row>
    <row r="2284" spans="1:7" ht="15.75">
      <c r="A2284" s="33"/>
      <c r="B2284" s="33"/>
      <c r="G2284" s="33"/>
    </row>
    <row r="2285" spans="1:7" ht="15.75">
      <c r="A2285" s="33"/>
      <c r="B2285" s="33"/>
      <c r="G2285" s="33"/>
    </row>
    <row r="2286" spans="1:7" ht="15.75">
      <c r="A2286" s="33"/>
      <c r="B2286" s="33"/>
      <c r="G2286" s="33"/>
    </row>
    <row r="2287" spans="1:7" ht="15.75">
      <c r="A2287" s="33"/>
      <c r="B2287" s="33"/>
      <c r="G2287" s="33"/>
    </row>
    <row r="2288" spans="1:7" ht="15.75">
      <c r="A2288" s="33"/>
      <c r="B2288" s="33"/>
      <c r="G2288" s="33"/>
    </row>
    <row r="2289" spans="1:7" ht="15.75">
      <c r="A2289" s="33"/>
      <c r="B2289" s="33"/>
      <c r="G2289" s="33"/>
    </row>
    <row r="2290" spans="1:7" ht="15.75">
      <c r="A2290" s="33"/>
      <c r="B2290" s="33"/>
      <c r="G2290" s="33"/>
    </row>
    <row r="2291" spans="1:7" ht="15.75">
      <c r="A2291" s="33"/>
      <c r="B2291" s="33"/>
      <c r="G2291" s="33"/>
    </row>
    <row r="2292" spans="1:7" ht="15.75">
      <c r="A2292" s="33"/>
      <c r="B2292" s="33"/>
      <c r="G2292" s="33"/>
    </row>
    <row r="2293" spans="1:7" ht="15.75">
      <c r="A2293" s="33"/>
      <c r="B2293" s="33"/>
      <c r="G2293" s="33"/>
    </row>
    <row r="2294" spans="1:7" ht="15.75">
      <c r="A2294" s="33"/>
      <c r="B2294" s="33"/>
      <c r="G2294" s="33"/>
    </row>
    <row r="2295" spans="1:7" ht="15.75">
      <c r="A2295" s="33"/>
      <c r="B2295" s="33"/>
      <c r="G2295" s="33"/>
    </row>
    <row r="2296" spans="1:7" ht="15.75">
      <c r="A2296" s="33"/>
      <c r="B2296" s="33"/>
      <c r="G2296" s="33"/>
    </row>
    <row r="2297" spans="1:7" ht="15.75">
      <c r="A2297" s="33"/>
      <c r="B2297" s="33"/>
      <c r="G2297" s="33"/>
    </row>
    <row r="2298" spans="1:7" ht="15.75">
      <c r="A2298" s="33"/>
      <c r="B2298" s="33"/>
      <c r="G2298" s="33"/>
    </row>
    <row r="2299" spans="1:7" ht="15.75">
      <c r="A2299" s="33"/>
      <c r="B2299" s="33"/>
      <c r="G2299" s="33"/>
    </row>
    <row r="2300" spans="1:7" ht="15.75">
      <c r="A2300" s="33"/>
      <c r="B2300" s="33"/>
      <c r="G2300" s="33"/>
    </row>
    <row r="2301" spans="1:7" ht="15.75">
      <c r="A2301" s="33"/>
      <c r="B2301" s="33"/>
      <c r="G2301" s="33"/>
    </row>
    <row r="2302" spans="1:7" ht="15.75">
      <c r="A2302" s="33"/>
      <c r="B2302" s="33"/>
      <c r="G2302" s="33"/>
    </row>
    <row r="2303" spans="1:7" ht="15.75">
      <c r="A2303" s="33"/>
      <c r="B2303" s="33"/>
      <c r="G2303" s="33"/>
    </row>
    <row r="2304" spans="1:7" ht="15.75">
      <c r="A2304" s="33"/>
      <c r="B2304" s="33"/>
      <c r="G2304" s="33"/>
    </row>
    <row r="2305" spans="1:7" ht="15.75">
      <c r="A2305" s="33"/>
      <c r="B2305" s="33"/>
      <c r="G2305" s="33"/>
    </row>
    <row r="2306" spans="1:7" ht="15.75">
      <c r="A2306" s="33"/>
      <c r="B2306" s="33"/>
      <c r="G2306" s="33"/>
    </row>
    <row r="2307" spans="1:7" ht="15.75">
      <c r="A2307" s="33"/>
      <c r="B2307" s="33"/>
      <c r="G2307" s="33"/>
    </row>
    <row r="2308" spans="1:7" ht="15.75">
      <c r="A2308" s="33"/>
      <c r="B2308" s="33"/>
      <c r="G2308" s="33"/>
    </row>
    <row r="2309" spans="1:7" ht="15.75">
      <c r="A2309" s="33"/>
      <c r="B2309" s="33"/>
      <c r="G2309" s="33"/>
    </row>
    <row r="2310" spans="1:7" ht="15.75">
      <c r="A2310" s="33"/>
      <c r="B2310" s="33"/>
      <c r="G2310" s="33"/>
    </row>
    <row r="2311" spans="1:7" ht="15.75">
      <c r="A2311" s="33"/>
      <c r="B2311" s="33"/>
      <c r="G2311" s="33"/>
    </row>
    <row r="2312" spans="1:7" ht="15.75">
      <c r="A2312" s="33"/>
      <c r="B2312" s="33"/>
      <c r="G2312" s="33"/>
    </row>
    <row r="2313" spans="1:7" ht="15.75">
      <c r="A2313" s="33"/>
      <c r="B2313" s="33"/>
      <c r="G2313" s="33"/>
    </row>
    <row r="2314" spans="1:7" ht="15.75">
      <c r="A2314" s="33"/>
      <c r="B2314" s="33"/>
      <c r="G2314" s="33"/>
    </row>
    <row r="2315" spans="1:7" ht="15.75">
      <c r="A2315" s="33"/>
      <c r="B2315" s="33"/>
      <c r="G2315" s="33"/>
    </row>
    <row r="2316" spans="1:7" ht="15.75">
      <c r="A2316" s="33"/>
      <c r="B2316" s="33"/>
      <c r="G2316" s="33"/>
    </row>
    <row r="2317" spans="1:7" ht="15.75">
      <c r="A2317" s="33"/>
      <c r="B2317" s="33"/>
      <c r="G2317" s="33"/>
    </row>
    <row r="2318" spans="1:7" ht="15.75">
      <c r="A2318" s="33"/>
      <c r="B2318" s="33"/>
      <c r="G2318" s="33"/>
    </row>
    <row r="2319" spans="1:7" ht="15.75">
      <c r="A2319" s="33"/>
      <c r="B2319" s="33"/>
      <c r="G2319" s="33"/>
    </row>
    <row r="2320" spans="1:7" ht="15.75">
      <c r="A2320" s="33"/>
      <c r="B2320" s="33"/>
      <c r="G2320" s="33"/>
    </row>
    <row r="2321" spans="1:7" ht="15.75">
      <c r="A2321" s="33"/>
      <c r="B2321" s="33"/>
      <c r="G2321" s="33"/>
    </row>
    <row r="2322" spans="1:7" ht="15.75">
      <c r="A2322" s="33"/>
      <c r="B2322" s="33"/>
      <c r="G2322" s="33"/>
    </row>
    <row r="2323" spans="1:7" ht="15.75">
      <c r="A2323" s="33"/>
      <c r="B2323" s="33"/>
      <c r="G2323" s="33"/>
    </row>
    <row r="2324" spans="1:7" ht="15.75">
      <c r="A2324" s="33"/>
      <c r="B2324" s="33"/>
      <c r="G2324" s="33"/>
    </row>
    <row r="2325" spans="1:7" ht="15.75">
      <c r="A2325" s="33"/>
      <c r="B2325" s="33"/>
      <c r="G2325" s="33"/>
    </row>
    <row r="2326" spans="1:7" ht="15.75">
      <c r="A2326" s="33"/>
      <c r="B2326" s="33"/>
      <c r="G2326" s="33"/>
    </row>
    <row r="2327" spans="1:7" ht="15.75">
      <c r="A2327" s="33"/>
      <c r="B2327" s="33"/>
      <c r="G2327" s="33"/>
    </row>
    <row r="2328" spans="1:7" ht="15.75">
      <c r="A2328" s="33"/>
      <c r="B2328" s="33"/>
      <c r="G2328" s="33"/>
    </row>
    <row r="2329" spans="1:7" ht="15.75">
      <c r="A2329" s="33"/>
      <c r="B2329" s="33"/>
      <c r="G2329" s="33"/>
    </row>
    <row r="2330" spans="1:7" ht="15.75">
      <c r="A2330" s="33"/>
      <c r="B2330" s="33"/>
      <c r="G2330" s="33"/>
    </row>
    <row r="2331" spans="1:7" ht="15.75">
      <c r="A2331" s="33"/>
      <c r="B2331" s="33"/>
      <c r="G2331" s="33"/>
    </row>
    <row r="2332" spans="1:7" ht="15.75">
      <c r="A2332" s="33"/>
      <c r="B2332" s="33"/>
      <c r="G2332" s="33"/>
    </row>
    <row r="2333" spans="1:7" ht="15.75">
      <c r="A2333" s="33"/>
      <c r="B2333" s="33"/>
      <c r="G2333" s="33"/>
    </row>
    <row r="2334" spans="1:7" ht="15.75">
      <c r="A2334" s="33"/>
      <c r="B2334" s="33"/>
      <c r="G2334" s="33"/>
    </row>
    <row r="2335" spans="1:7" ht="15.75">
      <c r="A2335" s="33"/>
      <c r="B2335" s="33"/>
      <c r="G2335" s="33"/>
    </row>
    <row r="2336" spans="1:7" ht="15.75">
      <c r="A2336" s="33"/>
      <c r="B2336" s="33"/>
      <c r="G2336" s="33"/>
    </row>
    <row r="2337" spans="1:7" ht="15.75">
      <c r="A2337" s="33"/>
      <c r="B2337" s="33"/>
      <c r="G2337" s="33"/>
    </row>
    <row r="2338" spans="1:7" ht="15.75">
      <c r="A2338" s="33"/>
      <c r="B2338" s="33"/>
      <c r="G2338" s="33"/>
    </row>
    <row r="2339" spans="1:7" ht="15.75">
      <c r="A2339" s="33"/>
      <c r="B2339" s="33"/>
      <c r="G2339" s="33"/>
    </row>
    <row r="2340" spans="1:7" ht="15.75">
      <c r="A2340" s="33"/>
      <c r="B2340" s="33"/>
      <c r="G2340" s="33"/>
    </row>
    <row r="2341" spans="1:7" ht="15.75">
      <c r="A2341" s="33"/>
      <c r="B2341" s="33"/>
      <c r="G2341" s="33"/>
    </row>
    <row r="2342" spans="1:7" ht="15.75">
      <c r="A2342" s="33"/>
      <c r="B2342" s="33"/>
      <c r="G2342" s="33"/>
    </row>
    <row r="2343" spans="1:7" ht="15.75">
      <c r="A2343" s="33"/>
      <c r="B2343" s="33"/>
      <c r="G2343" s="33"/>
    </row>
    <row r="2344" spans="1:7" ht="15.75">
      <c r="A2344" s="33"/>
      <c r="B2344" s="33"/>
      <c r="G2344" s="33"/>
    </row>
    <row r="2345" spans="1:7" ht="15.75">
      <c r="A2345" s="33"/>
      <c r="B2345" s="33"/>
      <c r="G2345" s="33"/>
    </row>
    <row r="2346" spans="1:7" ht="15.75">
      <c r="A2346" s="33"/>
      <c r="B2346" s="33"/>
      <c r="G2346" s="33"/>
    </row>
    <row r="2347" spans="1:7" ht="15.75">
      <c r="A2347" s="33"/>
      <c r="B2347" s="33"/>
      <c r="G2347" s="33"/>
    </row>
    <row r="2348" spans="1:7" ht="15.75">
      <c r="A2348" s="33"/>
      <c r="B2348" s="33"/>
      <c r="G2348" s="33"/>
    </row>
    <row r="2349" spans="1:7" ht="15.75">
      <c r="A2349" s="33"/>
      <c r="B2349" s="33"/>
      <c r="G2349" s="33"/>
    </row>
    <row r="2350" spans="1:7" ht="15.75">
      <c r="A2350" s="33"/>
      <c r="B2350" s="33"/>
      <c r="G2350" s="33"/>
    </row>
    <row r="2351" spans="1:7" ht="15.75">
      <c r="A2351" s="33"/>
      <c r="B2351" s="33"/>
      <c r="G2351" s="33"/>
    </row>
    <row r="2352" spans="1:7" ht="15.75">
      <c r="A2352" s="33"/>
      <c r="B2352" s="33"/>
      <c r="G2352" s="33"/>
    </row>
    <row r="2353" spans="1:7" ht="15.75">
      <c r="A2353" s="33"/>
      <c r="B2353" s="33"/>
      <c r="G2353" s="33"/>
    </row>
    <row r="2354" spans="1:7" ht="15.75">
      <c r="A2354" s="33"/>
      <c r="B2354" s="33"/>
      <c r="G2354" s="33"/>
    </row>
    <row r="2355" spans="1:7" ht="15.75">
      <c r="A2355" s="33"/>
      <c r="B2355" s="33"/>
      <c r="G2355" s="33"/>
    </row>
    <row r="2356" spans="1:7" ht="15.75">
      <c r="A2356" s="33"/>
      <c r="B2356" s="33"/>
      <c r="G2356" s="33"/>
    </row>
    <row r="2357" spans="1:7" ht="15.75">
      <c r="A2357" s="33"/>
      <c r="B2357" s="33"/>
      <c r="G2357" s="33"/>
    </row>
    <row r="2358" spans="1:7" ht="15.75">
      <c r="A2358" s="33"/>
      <c r="B2358" s="33"/>
      <c r="G2358" s="33"/>
    </row>
    <row r="2359" spans="1:7" ht="15.75">
      <c r="A2359" s="33"/>
      <c r="B2359" s="33"/>
      <c r="G2359" s="33"/>
    </row>
    <row r="2360" spans="1:7" ht="15.75">
      <c r="A2360" s="33"/>
      <c r="B2360" s="33"/>
      <c r="G2360" s="33"/>
    </row>
    <row r="2361" spans="1:7" ht="15.75">
      <c r="A2361" s="33"/>
      <c r="B2361" s="33"/>
      <c r="G2361" s="33"/>
    </row>
    <row r="2362" spans="1:7" ht="15.75">
      <c r="A2362" s="33"/>
      <c r="B2362" s="33"/>
      <c r="G2362" s="33"/>
    </row>
    <row r="2363" spans="1:7" ht="15.75">
      <c r="A2363" s="33"/>
      <c r="B2363" s="33"/>
      <c r="G2363" s="33"/>
    </row>
    <row r="2364" spans="1:7" ht="15.75">
      <c r="A2364" s="33"/>
      <c r="B2364" s="33"/>
      <c r="G2364" s="33"/>
    </row>
    <row r="2365" spans="1:7" ht="15.75">
      <c r="A2365" s="33"/>
      <c r="B2365" s="33"/>
      <c r="G2365" s="33"/>
    </row>
    <row r="2366" spans="1:7" ht="15.75">
      <c r="A2366" s="33"/>
      <c r="B2366" s="33"/>
      <c r="G2366" s="33"/>
    </row>
    <row r="2367" spans="1:7" ht="15.75">
      <c r="A2367" s="33"/>
      <c r="B2367" s="33"/>
      <c r="G2367" s="33"/>
    </row>
    <row r="2368" spans="1:7" ht="15.75">
      <c r="A2368" s="33"/>
      <c r="B2368" s="33"/>
      <c r="G2368" s="33"/>
    </row>
    <row r="2369" spans="1:7" ht="15.75">
      <c r="A2369" s="33"/>
      <c r="B2369" s="33"/>
      <c r="G2369" s="33"/>
    </row>
    <row r="2370" spans="1:7" ht="15.75">
      <c r="A2370" s="33"/>
      <c r="B2370" s="33"/>
      <c r="G2370" s="33"/>
    </row>
    <row r="2371" spans="1:7" ht="15.75">
      <c r="A2371" s="33"/>
      <c r="B2371" s="33"/>
      <c r="G2371" s="33"/>
    </row>
    <row r="2372" spans="1:7" ht="15.75">
      <c r="A2372" s="33"/>
      <c r="B2372" s="33"/>
      <c r="G2372" s="33"/>
    </row>
    <row r="2373" spans="1:7" ht="15.75">
      <c r="A2373" s="33"/>
      <c r="B2373" s="33"/>
      <c r="G2373" s="33"/>
    </row>
    <row r="2374" spans="1:7" ht="15.75">
      <c r="A2374" s="33"/>
      <c r="B2374" s="33"/>
      <c r="G2374" s="33"/>
    </row>
    <row r="2375" spans="1:7" ht="15.75">
      <c r="A2375" s="33"/>
      <c r="B2375" s="33"/>
      <c r="G2375" s="33"/>
    </row>
    <row r="2376" spans="1:7" ht="15.75">
      <c r="A2376" s="33"/>
      <c r="B2376" s="33"/>
      <c r="G2376" s="33"/>
    </row>
    <row r="2377" spans="1:7" ht="15.75">
      <c r="A2377" s="33"/>
      <c r="B2377" s="33"/>
      <c r="G2377" s="33"/>
    </row>
    <row r="2378" spans="1:7" ht="15.75">
      <c r="A2378" s="33"/>
      <c r="B2378" s="33"/>
      <c r="G2378" s="33"/>
    </row>
    <row r="2379" spans="1:7" ht="15.75">
      <c r="A2379" s="33"/>
      <c r="B2379" s="33"/>
      <c r="G2379" s="33"/>
    </row>
    <row r="2380" spans="1:7" ht="15.75">
      <c r="A2380" s="33"/>
      <c r="B2380" s="33"/>
      <c r="G2380" s="33"/>
    </row>
    <row r="2381" spans="1:7" ht="15.75">
      <c r="A2381" s="33"/>
      <c r="B2381" s="33"/>
      <c r="G2381" s="33"/>
    </row>
    <row r="2382" spans="1:7" ht="15.75">
      <c r="A2382" s="33"/>
      <c r="B2382" s="33"/>
      <c r="G2382" s="33"/>
    </row>
    <row r="2383" spans="1:7" ht="15.75">
      <c r="A2383" s="33"/>
      <c r="B2383" s="33"/>
      <c r="G2383" s="33"/>
    </row>
    <row r="2384" spans="1:7" ht="15.75">
      <c r="A2384" s="33"/>
      <c r="B2384" s="33"/>
      <c r="G2384" s="33"/>
    </row>
    <row r="2385" spans="1:7" ht="15.75">
      <c r="A2385" s="33"/>
      <c r="B2385" s="33"/>
      <c r="G2385" s="33"/>
    </row>
    <row r="2386" spans="1:7" ht="15.75">
      <c r="A2386" s="33"/>
      <c r="B2386" s="33"/>
      <c r="G2386" s="33"/>
    </row>
    <row r="2387" spans="1:7" ht="15.75">
      <c r="A2387" s="33"/>
      <c r="B2387" s="33"/>
      <c r="G2387" s="33"/>
    </row>
    <row r="2388" spans="1:7" ht="15.75">
      <c r="A2388" s="33"/>
      <c r="B2388" s="33"/>
      <c r="G2388" s="33"/>
    </row>
    <row r="2389" spans="1:7" ht="15.75">
      <c r="A2389" s="33"/>
      <c r="B2389" s="33"/>
      <c r="G2389" s="33"/>
    </row>
    <row r="2390" spans="1:7" ht="15.75">
      <c r="A2390" s="33"/>
      <c r="B2390" s="33"/>
      <c r="G2390" s="33"/>
    </row>
    <row r="2391" spans="1:7" ht="15.75">
      <c r="A2391" s="33"/>
      <c r="B2391" s="33"/>
      <c r="G2391" s="33"/>
    </row>
    <row r="2392" spans="1:7" ht="15.75">
      <c r="A2392" s="33"/>
      <c r="B2392" s="33"/>
      <c r="G2392" s="33"/>
    </row>
    <row r="2393" spans="1:7" ht="15.75">
      <c r="A2393" s="33"/>
      <c r="B2393" s="33"/>
      <c r="G2393" s="33"/>
    </row>
    <row r="2394" spans="1:7" ht="15.75">
      <c r="A2394" s="33"/>
      <c r="B2394" s="33"/>
      <c r="G2394" s="33"/>
    </row>
    <row r="2395" spans="1:7" ht="15.75">
      <c r="A2395" s="33"/>
      <c r="B2395" s="33"/>
      <c r="G2395" s="33"/>
    </row>
    <row r="2396" spans="1:7" ht="15.75">
      <c r="A2396" s="33"/>
      <c r="B2396" s="33"/>
      <c r="G2396" s="33"/>
    </row>
    <row r="2397" spans="1:7" ht="15.75">
      <c r="A2397" s="33"/>
      <c r="B2397" s="33"/>
      <c r="G2397" s="33"/>
    </row>
    <row r="2398" spans="1:7" ht="15.75">
      <c r="A2398" s="33"/>
      <c r="B2398" s="33"/>
      <c r="G2398" s="33"/>
    </row>
    <row r="2399" spans="1:7" ht="15.75">
      <c r="A2399" s="33"/>
      <c r="B2399" s="33"/>
      <c r="G2399" s="33"/>
    </row>
    <row r="2400" spans="1:7" ht="15.75">
      <c r="A2400" s="33"/>
      <c r="B2400" s="33"/>
      <c r="G2400" s="33"/>
    </row>
    <row r="2401" spans="1:7" ht="15.75">
      <c r="A2401" s="33"/>
      <c r="B2401" s="33"/>
      <c r="G2401" s="33"/>
    </row>
    <row r="2402" spans="1:7" ht="15.75">
      <c r="A2402" s="33"/>
      <c r="B2402" s="33"/>
      <c r="G2402" s="33"/>
    </row>
    <row r="2403" spans="1:7" ht="15.75">
      <c r="A2403" s="33"/>
      <c r="B2403" s="33"/>
      <c r="G2403" s="33"/>
    </row>
    <row r="2404" spans="1:7" ht="15.75">
      <c r="A2404" s="33"/>
      <c r="B2404" s="33"/>
      <c r="G2404" s="33"/>
    </row>
    <row r="2405" spans="1:7" ht="15.75">
      <c r="A2405" s="33"/>
      <c r="B2405" s="33"/>
      <c r="G2405" s="33"/>
    </row>
    <row r="2406" spans="1:7" ht="15.75">
      <c r="A2406" s="33"/>
      <c r="B2406" s="33"/>
      <c r="G2406" s="33"/>
    </row>
    <row r="2407" spans="1:7" ht="15.75">
      <c r="A2407" s="33"/>
      <c r="B2407" s="33"/>
      <c r="G2407" s="33"/>
    </row>
    <row r="2408" spans="1:7" ht="15.75">
      <c r="A2408" s="33"/>
      <c r="B2408" s="33"/>
      <c r="G2408" s="33"/>
    </row>
    <row r="2409" spans="1:7" ht="15.75">
      <c r="A2409" s="33"/>
      <c r="B2409" s="33"/>
      <c r="G2409" s="33"/>
    </row>
    <row r="2410" spans="1:7" ht="15.75">
      <c r="A2410" s="33"/>
      <c r="B2410" s="33"/>
      <c r="G2410" s="33"/>
    </row>
    <row r="2411" spans="1:7" ht="15.75">
      <c r="A2411" s="33"/>
      <c r="B2411" s="33"/>
      <c r="G2411" s="33"/>
    </row>
    <row r="2412" spans="1:7" ht="15.75">
      <c r="A2412" s="33"/>
      <c r="B2412" s="33"/>
      <c r="G2412" s="33"/>
    </row>
    <row r="2413" spans="1:7" ht="15.75">
      <c r="A2413" s="33"/>
      <c r="B2413" s="33"/>
      <c r="G2413" s="33"/>
    </row>
    <row r="2414" spans="1:7" ht="15.75">
      <c r="A2414" s="33"/>
      <c r="B2414" s="33"/>
      <c r="G2414" s="33"/>
    </row>
    <row r="2415" spans="1:7" ht="15.75">
      <c r="A2415" s="33"/>
      <c r="B2415" s="33"/>
      <c r="G2415" s="33"/>
    </row>
    <row r="2416" spans="1:7" ht="15.75">
      <c r="A2416" s="33"/>
      <c r="B2416" s="33"/>
      <c r="G2416" s="33"/>
    </row>
    <row r="2417" spans="1:7" ht="15.75">
      <c r="A2417" s="33"/>
      <c r="B2417" s="33"/>
      <c r="G2417" s="33"/>
    </row>
    <row r="2418" spans="1:7" ht="15.75">
      <c r="A2418" s="33"/>
      <c r="B2418" s="33"/>
      <c r="G2418" s="33"/>
    </row>
    <row r="2419" spans="1:7" ht="15.75">
      <c r="A2419" s="33"/>
      <c r="B2419" s="33"/>
      <c r="G2419" s="33"/>
    </row>
    <row r="2420" spans="1:7" ht="15.75">
      <c r="A2420" s="33"/>
      <c r="B2420" s="33"/>
      <c r="G2420" s="33"/>
    </row>
    <row r="2421" spans="1:7" ht="15.75">
      <c r="A2421" s="33"/>
      <c r="B2421" s="33"/>
      <c r="G2421" s="33"/>
    </row>
    <row r="2422" spans="1:7" ht="15.75">
      <c r="A2422" s="33"/>
      <c r="B2422" s="33"/>
      <c r="G2422" s="33"/>
    </row>
    <row r="2423" spans="1:7" ht="15.75">
      <c r="A2423" s="33"/>
      <c r="B2423" s="33"/>
      <c r="G2423" s="33"/>
    </row>
    <row r="2424" spans="1:7" ht="15.75">
      <c r="A2424" s="33"/>
      <c r="B2424" s="33"/>
      <c r="G2424" s="33"/>
    </row>
    <row r="2425" spans="1:7" ht="15.75">
      <c r="A2425" s="33"/>
      <c r="B2425" s="33"/>
      <c r="G2425" s="33"/>
    </row>
    <row r="2426" spans="1:7" ht="15.75">
      <c r="A2426" s="33"/>
      <c r="B2426" s="33"/>
      <c r="G2426" s="33"/>
    </row>
    <row r="2427" spans="1:7" ht="15.75">
      <c r="A2427" s="33"/>
      <c r="B2427" s="33"/>
      <c r="G2427" s="33"/>
    </row>
    <row r="2428" spans="1:7" ht="15.75">
      <c r="A2428" s="33"/>
      <c r="B2428" s="33"/>
      <c r="G2428" s="33"/>
    </row>
    <row r="2429" spans="1:7" ht="15.75">
      <c r="A2429" s="33"/>
      <c r="B2429" s="33"/>
      <c r="G2429" s="33"/>
    </row>
    <row r="2430" spans="1:7" ht="15.75">
      <c r="A2430" s="33"/>
      <c r="B2430" s="33"/>
      <c r="G2430" s="33"/>
    </row>
    <row r="2431" spans="1:7" ht="15.75">
      <c r="A2431" s="33"/>
      <c r="B2431" s="33"/>
      <c r="G2431" s="33"/>
    </row>
    <row r="2432" spans="1:7" ht="15.75">
      <c r="A2432" s="33"/>
      <c r="B2432" s="33"/>
      <c r="G2432" s="33"/>
    </row>
    <row r="2433" spans="1:7" ht="15.75">
      <c r="A2433" s="33"/>
      <c r="B2433" s="33"/>
      <c r="G2433" s="33"/>
    </row>
    <row r="2434" spans="1:7" ht="15.75">
      <c r="A2434" s="33"/>
      <c r="B2434" s="33"/>
      <c r="G2434" s="33"/>
    </row>
    <row r="2435" spans="1:7" ht="15.75">
      <c r="A2435" s="33"/>
      <c r="B2435" s="33"/>
      <c r="G2435" s="33"/>
    </row>
    <row r="2436" spans="1:7" ht="15.75">
      <c r="A2436" s="33"/>
      <c r="B2436" s="33"/>
      <c r="G2436" s="33"/>
    </row>
    <row r="2437" spans="1:7" ht="15.75">
      <c r="A2437" s="33"/>
      <c r="B2437" s="33"/>
      <c r="G2437" s="33"/>
    </row>
    <row r="2438" spans="1:7" ht="15.75">
      <c r="A2438" s="33"/>
      <c r="B2438" s="33"/>
      <c r="G2438" s="33"/>
    </row>
    <row r="2439" spans="1:7" ht="15.75">
      <c r="A2439" s="33"/>
      <c r="B2439" s="33"/>
      <c r="G2439" s="33"/>
    </row>
    <row r="2440" spans="1:7" ht="15.75">
      <c r="A2440" s="33"/>
      <c r="B2440" s="33"/>
      <c r="G2440" s="33"/>
    </row>
    <row r="2441" spans="1:7" ht="15.75">
      <c r="A2441" s="33"/>
      <c r="B2441" s="33"/>
      <c r="G2441" s="33"/>
    </row>
    <row r="2442" spans="1:7" ht="15.75">
      <c r="A2442" s="33"/>
      <c r="B2442" s="33"/>
      <c r="G2442" s="33"/>
    </row>
    <row r="2443" spans="1:7" ht="15.75">
      <c r="A2443" s="33"/>
      <c r="B2443" s="33"/>
      <c r="G2443" s="33"/>
    </row>
    <row r="2444" spans="1:7" ht="15.75">
      <c r="A2444" s="33"/>
      <c r="B2444" s="33"/>
      <c r="G2444" s="33"/>
    </row>
    <row r="2445" spans="1:7" ht="15.75">
      <c r="A2445" s="33"/>
      <c r="B2445" s="33"/>
      <c r="G2445" s="33"/>
    </row>
    <row r="2446" spans="1:7" ht="15.75">
      <c r="A2446" s="33"/>
      <c r="B2446" s="33"/>
      <c r="G2446" s="33"/>
    </row>
    <row r="2447" spans="1:7" ht="15.75">
      <c r="A2447" s="33"/>
      <c r="B2447" s="33"/>
      <c r="G2447" s="33"/>
    </row>
    <row r="2448" spans="1:7" ht="15.75">
      <c r="A2448" s="33"/>
      <c r="B2448" s="33"/>
      <c r="G2448" s="33"/>
    </row>
    <row r="2449" spans="1:7" ht="15.75">
      <c r="A2449" s="33"/>
      <c r="B2449" s="33"/>
      <c r="G2449" s="33"/>
    </row>
    <row r="2450" spans="1:7" ht="15.75">
      <c r="A2450" s="33"/>
      <c r="B2450" s="33"/>
      <c r="G2450" s="33"/>
    </row>
    <row r="2451" spans="1:7" ht="15.75">
      <c r="A2451" s="33"/>
      <c r="B2451" s="33"/>
      <c r="G2451" s="33"/>
    </row>
    <row r="2452" spans="1:7" ht="15.75">
      <c r="A2452" s="33"/>
      <c r="B2452" s="33"/>
      <c r="G2452" s="33"/>
    </row>
    <row r="2453" spans="1:7" ht="15.75">
      <c r="A2453" s="33"/>
      <c r="B2453" s="33"/>
      <c r="G2453" s="33"/>
    </row>
    <row r="2454" spans="1:7" ht="15.75">
      <c r="A2454" s="33"/>
      <c r="B2454" s="33"/>
      <c r="G2454" s="33"/>
    </row>
    <row r="2455" spans="1:7" ht="15.75">
      <c r="A2455" s="33"/>
      <c r="B2455" s="33"/>
      <c r="G2455" s="33"/>
    </row>
    <row r="2456" spans="1:7" ht="15.75">
      <c r="A2456" s="33"/>
      <c r="B2456" s="33"/>
      <c r="G2456" s="33"/>
    </row>
    <row r="2457" spans="1:7" ht="15.75">
      <c r="A2457" s="33"/>
      <c r="B2457" s="33"/>
      <c r="G2457" s="33"/>
    </row>
    <row r="2458" spans="1:7" ht="15.75">
      <c r="A2458" s="33"/>
      <c r="B2458" s="33"/>
      <c r="G2458" s="33"/>
    </row>
    <row r="2459" spans="1:7" ht="15.75">
      <c r="A2459" s="33"/>
      <c r="B2459" s="33"/>
      <c r="G2459" s="33"/>
    </row>
    <row r="2460" spans="1:7" ht="15.75">
      <c r="A2460" s="33"/>
      <c r="B2460" s="33"/>
      <c r="G2460" s="33"/>
    </row>
    <row r="2461" spans="1:7" ht="15.75">
      <c r="A2461" s="33"/>
      <c r="B2461" s="33"/>
      <c r="G2461" s="33"/>
    </row>
    <row r="2462" spans="1:7" ht="15.75">
      <c r="A2462" s="33"/>
      <c r="B2462" s="33"/>
      <c r="G2462" s="33"/>
    </row>
    <row r="2463" spans="1:7" ht="15.75">
      <c r="A2463" s="33"/>
      <c r="B2463" s="33"/>
      <c r="G2463" s="33"/>
    </row>
    <row r="2464" spans="1:7" ht="15.75">
      <c r="A2464" s="33"/>
      <c r="B2464" s="33"/>
      <c r="G2464" s="33"/>
    </row>
    <row r="2465" spans="1:7" ht="15.75">
      <c r="A2465" s="33"/>
      <c r="B2465" s="33"/>
      <c r="G2465" s="33"/>
    </row>
    <row r="2466" spans="1:7" ht="15.75">
      <c r="A2466" s="33"/>
      <c r="B2466" s="33"/>
      <c r="G2466" s="33"/>
    </row>
    <row r="2467" spans="1:7" ht="15.75">
      <c r="A2467" s="33"/>
      <c r="B2467" s="33"/>
      <c r="G2467" s="33"/>
    </row>
    <row r="2468" spans="1:7" ht="15.75">
      <c r="A2468" s="33"/>
      <c r="B2468" s="33"/>
      <c r="G2468" s="33"/>
    </row>
    <row r="2469" spans="1:7" ht="15.75">
      <c r="A2469" s="33"/>
      <c r="B2469" s="33"/>
      <c r="G2469" s="33"/>
    </row>
    <row r="2470" spans="1:7" ht="15.75">
      <c r="A2470" s="33"/>
      <c r="B2470" s="33"/>
      <c r="G2470" s="33"/>
    </row>
    <row r="2471" spans="1:7" ht="15.75">
      <c r="A2471" s="33"/>
      <c r="B2471" s="33"/>
      <c r="G2471" s="33"/>
    </row>
    <row r="2472" spans="1:7" ht="15.75">
      <c r="A2472" s="33"/>
      <c r="B2472" s="33"/>
      <c r="G2472" s="33"/>
    </row>
    <row r="2473" spans="1:7" ht="15.75">
      <c r="A2473" s="33"/>
      <c r="B2473" s="33"/>
      <c r="G2473" s="33"/>
    </row>
    <row r="2474" spans="1:7" ht="15.75">
      <c r="A2474" s="33"/>
      <c r="B2474" s="33"/>
      <c r="G2474" s="33"/>
    </row>
    <row r="2475" spans="1:7" ht="15.75">
      <c r="A2475" s="33"/>
      <c r="B2475" s="33"/>
      <c r="G2475" s="33"/>
    </row>
    <row r="2476" spans="1:7" ht="15.75">
      <c r="A2476" s="33"/>
      <c r="B2476" s="33"/>
      <c r="G2476" s="33"/>
    </row>
    <row r="2477" spans="1:7" ht="15.75">
      <c r="A2477" s="33"/>
      <c r="B2477" s="33"/>
      <c r="G2477" s="33"/>
    </row>
    <row r="2478" spans="1:7" ht="15.75">
      <c r="A2478" s="33"/>
      <c r="B2478" s="33"/>
      <c r="G2478" s="33"/>
    </row>
    <row r="2479" spans="1:7" ht="15.75">
      <c r="A2479" s="33"/>
      <c r="B2479" s="33"/>
      <c r="G2479" s="33"/>
    </row>
    <row r="2480" spans="1:7" ht="15.75">
      <c r="A2480" s="33"/>
      <c r="B2480" s="33"/>
      <c r="G2480" s="33"/>
    </row>
    <row r="2481" spans="1:7" ht="15.75">
      <c r="A2481" s="33"/>
      <c r="B2481" s="33"/>
      <c r="G2481" s="33"/>
    </row>
    <row r="2482" spans="1:7" ht="15.75">
      <c r="A2482" s="33"/>
      <c r="B2482" s="33"/>
      <c r="G2482" s="33"/>
    </row>
    <row r="2483" spans="1:7" ht="15.75">
      <c r="A2483" s="33"/>
      <c r="B2483" s="33"/>
      <c r="G2483" s="33"/>
    </row>
    <row r="2484" spans="1:7" ht="15.75">
      <c r="A2484" s="33"/>
      <c r="B2484" s="33"/>
      <c r="G2484" s="33"/>
    </row>
    <row r="2485" spans="1:7" ht="15.75">
      <c r="A2485" s="33"/>
      <c r="B2485" s="33"/>
      <c r="G2485" s="33"/>
    </row>
    <row r="2486" spans="1:7" ht="15.75">
      <c r="A2486" s="33"/>
      <c r="B2486" s="33"/>
      <c r="G2486" s="33"/>
    </row>
    <row r="2487" spans="1:7" ht="15.75">
      <c r="A2487" s="33"/>
      <c r="B2487" s="33"/>
      <c r="G2487" s="33"/>
    </row>
    <row r="2488" spans="1:7" ht="15.75">
      <c r="A2488" s="33"/>
      <c r="B2488" s="33"/>
      <c r="G2488" s="33"/>
    </row>
    <row r="2489" spans="1:7" ht="15.75">
      <c r="A2489" s="33"/>
      <c r="B2489" s="33"/>
      <c r="G2489" s="33"/>
    </row>
    <row r="2490" spans="1:7" ht="15.75">
      <c r="A2490" s="33"/>
      <c r="B2490" s="33"/>
      <c r="G2490" s="33"/>
    </row>
    <row r="2491" spans="1:7" ht="15.75">
      <c r="A2491" s="33"/>
      <c r="B2491" s="33"/>
      <c r="G2491" s="33"/>
    </row>
    <row r="2492" spans="1:7" ht="15.75">
      <c r="A2492" s="33"/>
      <c r="B2492" s="33"/>
      <c r="G2492" s="33"/>
    </row>
    <row r="2493" spans="1:7" ht="15.75">
      <c r="A2493" s="33"/>
      <c r="B2493" s="33"/>
      <c r="G2493" s="33"/>
    </row>
    <row r="2494" spans="1:7" ht="15.75">
      <c r="A2494" s="33"/>
      <c r="B2494" s="33"/>
      <c r="G2494" s="33"/>
    </row>
    <row r="2495" spans="1:7" ht="15.75">
      <c r="A2495" s="33"/>
      <c r="B2495" s="33"/>
      <c r="G2495" s="33"/>
    </row>
    <row r="2496" spans="1:7" ht="15.75">
      <c r="A2496" s="33"/>
      <c r="B2496" s="33"/>
      <c r="G2496" s="33"/>
    </row>
    <row r="2497" spans="1:7" ht="15.75">
      <c r="A2497" s="33"/>
      <c r="B2497" s="33"/>
      <c r="G2497" s="33"/>
    </row>
    <row r="2498" spans="1:7" ht="15.75">
      <c r="A2498" s="33"/>
      <c r="B2498" s="33"/>
      <c r="G2498" s="33"/>
    </row>
    <row r="2499" spans="1:7" ht="15.75">
      <c r="A2499" s="33"/>
      <c r="B2499" s="33"/>
      <c r="G2499" s="33"/>
    </row>
    <row r="2500" spans="1:7" ht="15.75">
      <c r="A2500" s="33"/>
      <c r="B2500" s="33"/>
      <c r="G2500" s="33"/>
    </row>
    <row r="2501" spans="1:7" ht="15.75">
      <c r="A2501" s="33"/>
      <c r="B2501" s="33"/>
      <c r="G2501" s="33"/>
    </row>
    <row r="2502" spans="1:7" ht="15.75">
      <c r="A2502" s="33"/>
      <c r="B2502" s="33"/>
      <c r="G2502" s="33"/>
    </row>
    <row r="2503" spans="1:7" ht="15.75">
      <c r="A2503" s="33"/>
      <c r="B2503" s="33"/>
      <c r="G2503" s="33"/>
    </row>
    <row r="2504" spans="1:7" ht="15.75">
      <c r="A2504" s="33"/>
      <c r="B2504" s="33"/>
      <c r="G2504" s="33"/>
    </row>
    <row r="2505" spans="1:7" ht="15.75">
      <c r="A2505" s="33"/>
      <c r="B2505" s="33"/>
      <c r="G2505" s="33"/>
    </row>
    <row r="2506" spans="1:7" ht="15.75">
      <c r="A2506" s="33"/>
      <c r="B2506" s="33"/>
      <c r="G2506" s="33"/>
    </row>
    <row r="2507" spans="1:7" ht="15.75">
      <c r="A2507" s="33"/>
      <c r="B2507" s="33"/>
      <c r="G2507" s="33"/>
    </row>
    <row r="2508" spans="1:7" ht="15.75">
      <c r="A2508" s="33"/>
      <c r="B2508" s="33"/>
      <c r="G2508" s="33"/>
    </row>
    <row r="2509" spans="1:7" ht="15.75">
      <c r="A2509" s="33"/>
      <c r="B2509" s="33"/>
      <c r="G2509" s="33"/>
    </row>
    <row r="2510" spans="1:7" ht="15.75">
      <c r="A2510" s="33"/>
      <c r="B2510" s="33"/>
      <c r="G2510" s="33"/>
    </row>
    <row r="2511" spans="1:7" ht="15.75">
      <c r="A2511" s="33"/>
      <c r="B2511" s="33"/>
      <c r="G2511" s="33"/>
    </row>
    <row r="2512" spans="1:7" ht="15.75">
      <c r="A2512" s="33"/>
      <c r="B2512" s="33"/>
      <c r="G2512" s="33"/>
    </row>
    <row r="2513" spans="1:7" ht="15.75">
      <c r="A2513" s="33"/>
      <c r="B2513" s="33"/>
      <c r="G2513" s="33"/>
    </row>
    <row r="2514" spans="1:7" ht="15.75">
      <c r="A2514" s="33"/>
      <c r="B2514" s="33"/>
      <c r="G2514" s="33"/>
    </row>
    <row r="2515" spans="1:7" ht="15.75">
      <c r="A2515" s="33"/>
      <c r="B2515" s="33"/>
      <c r="G2515" s="33"/>
    </row>
    <row r="2516" spans="1:7" ht="15.75">
      <c r="A2516" s="33"/>
      <c r="B2516" s="33"/>
      <c r="G2516" s="33"/>
    </row>
    <row r="2517" spans="1:7" ht="15.75">
      <c r="A2517" s="33"/>
      <c r="B2517" s="33"/>
      <c r="G2517" s="33"/>
    </row>
    <row r="2518" spans="1:7" ht="15.75">
      <c r="A2518" s="33"/>
      <c r="B2518" s="33"/>
      <c r="G2518" s="33"/>
    </row>
    <row r="2519" spans="1:7" ht="15.75">
      <c r="A2519" s="33"/>
      <c r="B2519" s="33"/>
      <c r="G2519" s="33"/>
    </row>
    <row r="2520" spans="1:7" ht="15.75">
      <c r="A2520" s="33"/>
      <c r="B2520" s="33"/>
      <c r="G2520" s="33"/>
    </row>
    <row r="2521" spans="1:7" ht="15.75">
      <c r="A2521" s="33"/>
      <c r="B2521" s="33"/>
      <c r="G2521" s="33"/>
    </row>
    <row r="2522" spans="1:7" ht="15.75">
      <c r="A2522" s="33"/>
      <c r="B2522" s="33"/>
      <c r="G2522" s="33"/>
    </row>
    <row r="2523" spans="1:7" ht="15.75">
      <c r="A2523" s="33"/>
      <c r="B2523" s="33"/>
      <c r="G2523" s="33"/>
    </row>
    <row r="2524" spans="1:7" ht="15.75">
      <c r="A2524" s="33"/>
      <c r="B2524" s="33"/>
      <c r="G2524" s="33"/>
    </row>
    <row r="2525" spans="1:7" ht="15.75">
      <c r="A2525" s="33"/>
      <c r="B2525" s="33"/>
      <c r="G2525" s="33"/>
    </row>
    <row r="2526" spans="1:7" ht="15.75">
      <c r="A2526" s="33"/>
      <c r="B2526" s="33"/>
      <c r="G2526" s="33"/>
    </row>
    <row r="2527" spans="1:7" ht="15.75">
      <c r="A2527" s="33"/>
      <c r="B2527" s="33"/>
      <c r="G2527" s="33"/>
    </row>
    <row r="2528" spans="1:7" ht="15.75">
      <c r="A2528" s="33"/>
      <c r="B2528" s="33"/>
      <c r="G2528" s="33"/>
    </row>
    <row r="2529" spans="1:7" ht="15.75">
      <c r="A2529" s="33"/>
      <c r="B2529" s="33"/>
      <c r="G2529" s="33"/>
    </row>
    <row r="2530" spans="1:7" ht="15.75">
      <c r="A2530" s="33"/>
      <c r="B2530" s="33"/>
      <c r="G2530" s="33"/>
    </row>
    <row r="2531" spans="1:7" ht="15.75">
      <c r="A2531" s="33"/>
      <c r="B2531" s="33"/>
      <c r="G2531" s="33"/>
    </row>
    <row r="2532" spans="1:7" ht="15.75">
      <c r="A2532" s="33"/>
      <c r="B2532" s="33"/>
      <c r="G2532" s="33"/>
    </row>
    <row r="2533" spans="1:7" ht="15.75">
      <c r="A2533" s="33"/>
      <c r="B2533" s="33"/>
      <c r="G2533" s="33"/>
    </row>
    <row r="2534" spans="1:7" ht="15.75">
      <c r="A2534" s="33"/>
      <c r="B2534" s="33"/>
      <c r="G2534" s="33"/>
    </row>
    <row r="2535" spans="1:7" ht="15.75">
      <c r="A2535" s="33"/>
      <c r="B2535" s="33"/>
      <c r="G2535" s="33"/>
    </row>
    <row r="2536" spans="1:7" ht="15.75">
      <c r="A2536" s="33"/>
      <c r="B2536" s="33"/>
      <c r="G2536" s="33"/>
    </row>
    <row r="2537" spans="1:7" ht="15.75">
      <c r="A2537" s="33"/>
      <c r="B2537" s="33"/>
      <c r="G2537" s="33"/>
    </row>
    <row r="2538" spans="1:7" ht="15.75">
      <c r="A2538" s="33"/>
      <c r="B2538" s="33"/>
      <c r="G2538" s="33"/>
    </row>
    <row r="2539" spans="1:7" ht="15.75">
      <c r="A2539" s="33"/>
      <c r="B2539" s="33"/>
      <c r="G2539" s="33"/>
    </row>
    <row r="2540" spans="1:7" ht="15.75">
      <c r="A2540" s="33"/>
      <c r="B2540" s="33"/>
      <c r="G2540" s="33"/>
    </row>
    <row r="2541" spans="1:7" ht="15.75">
      <c r="A2541" s="33"/>
      <c r="B2541" s="33"/>
      <c r="G2541" s="33"/>
    </row>
    <row r="2542" spans="1:7" ht="15.75">
      <c r="A2542" s="33"/>
      <c r="B2542" s="33"/>
      <c r="G2542" s="33"/>
    </row>
    <row r="2543" spans="1:7" ht="15.75">
      <c r="A2543" s="33"/>
      <c r="B2543" s="33"/>
      <c r="G2543" s="33"/>
    </row>
    <row r="2544" spans="1:7" ht="15.75">
      <c r="A2544" s="33"/>
      <c r="B2544" s="33"/>
      <c r="G2544" s="33"/>
    </row>
    <row r="2545" spans="1:7" ht="15.75">
      <c r="A2545" s="33"/>
      <c r="B2545" s="33"/>
      <c r="G2545" s="33"/>
    </row>
    <row r="2546" spans="1:7" ht="15.75">
      <c r="A2546" s="33"/>
      <c r="B2546" s="33"/>
      <c r="G2546" s="33"/>
    </row>
    <row r="2547" spans="1:7" ht="15.75">
      <c r="A2547" s="33"/>
      <c r="B2547" s="33"/>
      <c r="G2547" s="33"/>
    </row>
    <row r="2548" spans="1:7" ht="15.75">
      <c r="A2548" s="33"/>
      <c r="B2548" s="33"/>
      <c r="G2548" s="33"/>
    </row>
    <row r="2549" spans="1:7" ht="15.75">
      <c r="A2549" s="33"/>
      <c r="B2549" s="33"/>
      <c r="G2549" s="33"/>
    </row>
    <row r="2550" spans="1:7" ht="15.75">
      <c r="A2550" s="33"/>
      <c r="B2550" s="33"/>
      <c r="G2550" s="33"/>
    </row>
    <row r="2551" spans="1:7" ht="15.75">
      <c r="A2551" s="33"/>
      <c r="B2551" s="33"/>
      <c r="G2551" s="33"/>
    </row>
    <row r="2552" spans="1:7" ht="15.75">
      <c r="A2552" s="33"/>
      <c r="B2552" s="33"/>
      <c r="G2552" s="33"/>
    </row>
    <row r="2553" spans="1:7" ht="15.75">
      <c r="A2553" s="33"/>
      <c r="B2553" s="33"/>
      <c r="G2553" s="33"/>
    </row>
    <row r="2554" spans="1:7" ht="15.75">
      <c r="A2554" s="33"/>
      <c r="B2554" s="33"/>
      <c r="G2554" s="33"/>
    </row>
    <row r="2555" spans="1:7" ht="15.75">
      <c r="A2555" s="33"/>
      <c r="B2555" s="33"/>
      <c r="G2555" s="33"/>
    </row>
    <row r="2556" spans="1:7" ht="15.75">
      <c r="A2556" s="33"/>
      <c r="B2556" s="33"/>
      <c r="G2556" s="33"/>
    </row>
    <row r="2557" spans="1:7" ht="15.75">
      <c r="A2557" s="33"/>
      <c r="B2557" s="33"/>
      <c r="G2557" s="33"/>
    </row>
    <row r="2558" spans="1:7" ht="15.75">
      <c r="A2558" s="33"/>
      <c r="B2558" s="33"/>
      <c r="G2558" s="33"/>
    </row>
    <row r="2559" spans="1:7" ht="15.75">
      <c r="A2559" s="33"/>
      <c r="B2559" s="33"/>
      <c r="G2559" s="33"/>
    </row>
    <row r="2560" spans="1:7" ht="15.75">
      <c r="A2560" s="33"/>
      <c r="B2560" s="33"/>
      <c r="G2560" s="33"/>
    </row>
    <row r="2561" spans="1:7" ht="15.75">
      <c r="A2561" s="33"/>
      <c r="B2561" s="33"/>
      <c r="G2561" s="33"/>
    </row>
    <row r="2562" spans="1:7" ht="15.75">
      <c r="A2562" s="33"/>
      <c r="B2562" s="33"/>
      <c r="G2562" s="33"/>
    </row>
    <row r="2563" spans="1:7" ht="15.75">
      <c r="A2563" s="33"/>
      <c r="B2563" s="33"/>
      <c r="G2563" s="33"/>
    </row>
    <row r="2564" spans="1:7" ht="15.75">
      <c r="A2564" s="33"/>
      <c r="B2564" s="33"/>
      <c r="G2564" s="33"/>
    </row>
    <row r="2565" spans="1:7" ht="15.75">
      <c r="A2565" s="33"/>
      <c r="B2565" s="33"/>
      <c r="G2565" s="33"/>
    </row>
    <row r="2566" spans="1:7" ht="15.75">
      <c r="A2566" s="33"/>
      <c r="B2566" s="33"/>
      <c r="G2566" s="33"/>
    </row>
    <row r="2567" spans="1:7" ht="15.75">
      <c r="A2567" s="33"/>
      <c r="B2567" s="33"/>
      <c r="G2567" s="33"/>
    </row>
    <row r="2568" spans="1:7" ht="15.75">
      <c r="A2568" s="33"/>
      <c r="B2568" s="33"/>
      <c r="G2568" s="33"/>
    </row>
    <row r="2569" spans="1:7" ht="15.75">
      <c r="A2569" s="33"/>
      <c r="B2569" s="33"/>
      <c r="G2569" s="33"/>
    </row>
    <row r="2570" spans="1:7" ht="15.75">
      <c r="A2570" s="33"/>
      <c r="B2570" s="33"/>
      <c r="G2570" s="33"/>
    </row>
    <row r="2571" spans="1:7" ht="15.75">
      <c r="A2571" s="33"/>
      <c r="B2571" s="33"/>
      <c r="G2571" s="33"/>
    </row>
    <row r="2572" spans="1:7" ht="15.75">
      <c r="A2572" s="33"/>
      <c r="B2572" s="33"/>
      <c r="G2572" s="33"/>
    </row>
    <row r="2573" spans="1:7" ht="15.75">
      <c r="A2573" s="33"/>
      <c r="B2573" s="33"/>
      <c r="G2573" s="33"/>
    </row>
    <row r="2574" spans="1:7" ht="15.75">
      <c r="A2574" s="33"/>
      <c r="B2574" s="33"/>
      <c r="G2574" s="33"/>
    </row>
    <row r="2575" spans="1:7" ht="15.75">
      <c r="A2575" s="33"/>
      <c r="B2575" s="33"/>
      <c r="G2575" s="33"/>
    </row>
    <row r="2576" spans="1:7" ht="15.75">
      <c r="A2576" s="33"/>
      <c r="B2576" s="33"/>
      <c r="G2576" s="33"/>
    </row>
    <row r="2577" spans="1:7" ht="15.75">
      <c r="A2577" s="33"/>
      <c r="B2577" s="33"/>
      <c r="G2577" s="33"/>
    </row>
    <row r="2578" spans="1:7" ht="15.75">
      <c r="A2578" s="33"/>
      <c r="B2578" s="33"/>
      <c r="G2578" s="33"/>
    </row>
    <row r="2579" spans="1:7" ht="15.75">
      <c r="A2579" s="33"/>
      <c r="B2579" s="33"/>
      <c r="G2579" s="33"/>
    </row>
    <row r="2580" spans="1:7" ht="15.75">
      <c r="A2580" s="33"/>
      <c r="B2580" s="33"/>
      <c r="G2580" s="33"/>
    </row>
    <row r="2581" spans="1:7" ht="15.75">
      <c r="A2581" s="33"/>
      <c r="B2581" s="33"/>
      <c r="G2581" s="33"/>
    </row>
    <row r="2582" spans="1:7" ht="15.75">
      <c r="A2582" s="33"/>
      <c r="B2582" s="33"/>
      <c r="G2582" s="33"/>
    </row>
    <row r="2583" spans="1:7" ht="15.75">
      <c r="A2583" s="33"/>
      <c r="B2583" s="33"/>
      <c r="G2583" s="33"/>
    </row>
    <row r="2584" spans="1:7" ht="15.75">
      <c r="A2584" s="33"/>
      <c r="B2584" s="33"/>
      <c r="G2584" s="33"/>
    </row>
    <row r="2585" spans="1:7" ht="15.75">
      <c r="A2585" s="33"/>
      <c r="B2585" s="33"/>
      <c r="G2585" s="33"/>
    </row>
    <row r="2586" spans="1:7" ht="15.75">
      <c r="A2586" s="33"/>
      <c r="B2586" s="33"/>
      <c r="G2586" s="33"/>
    </row>
    <row r="2587" spans="1:7" ht="15.75">
      <c r="A2587" s="33"/>
      <c r="B2587" s="33"/>
      <c r="G2587" s="33"/>
    </row>
    <row r="2588" spans="1:7" ht="15.75">
      <c r="A2588" s="33"/>
      <c r="B2588" s="33"/>
      <c r="G2588" s="33"/>
    </row>
    <row r="2589" spans="1:7" ht="15.75">
      <c r="A2589" s="33"/>
      <c r="B2589" s="33"/>
      <c r="G2589" s="33"/>
    </row>
    <row r="2590" spans="1:7" ht="15.75">
      <c r="A2590" s="33"/>
      <c r="B2590" s="33"/>
      <c r="G2590" s="33"/>
    </row>
    <row r="2591" spans="1:7" ht="15.75">
      <c r="A2591" s="33"/>
      <c r="B2591" s="33"/>
      <c r="G2591" s="33"/>
    </row>
    <row r="2592" spans="1:7" ht="15.75">
      <c r="A2592" s="33"/>
      <c r="B2592" s="33"/>
      <c r="G2592" s="33"/>
    </row>
    <row r="2593" spans="1:7" ht="15.75">
      <c r="A2593" s="33"/>
      <c r="B2593" s="33"/>
      <c r="G2593" s="33"/>
    </row>
    <row r="2594" spans="1:7" ht="15.75">
      <c r="A2594" s="33"/>
      <c r="B2594" s="33"/>
      <c r="G2594" s="33"/>
    </row>
    <row r="2595" spans="1:7" ht="15.75">
      <c r="A2595" s="33"/>
      <c r="B2595" s="33"/>
      <c r="G2595" s="33"/>
    </row>
    <row r="2596" spans="1:7" ht="15.75">
      <c r="A2596" s="33"/>
      <c r="B2596" s="33"/>
      <c r="G2596" s="33"/>
    </row>
    <row r="2597" spans="1:7" ht="15.75">
      <c r="A2597" s="33"/>
      <c r="B2597" s="33"/>
      <c r="G2597" s="33"/>
    </row>
    <row r="2598" spans="1:7" ht="15.75">
      <c r="A2598" s="33"/>
      <c r="B2598" s="33"/>
      <c r="G2598" s="33"/>
    </row>
    <row r="2599" spans="1:7" ht="15.75">
      <c r="A2599" s="33"/>
      <c r="B2599" s="33"/>
      <c r="G2599" s="33"/>
    </row>
    <row r="2600" spans="1:7" ht="15.75">
      <c r="A2600" s="33"/>
      <c r="B2600" s="33"/>
      <c r="G2600" s="33"/>
    </row>
    <row r="2601" spans="1:7" ht="15.75">
      <c r="A2601" s="33"/>
      <c r="B2601" s="33"/>
      <c r="G2601" s="33"/>
    </row>
    <row r="2602" spans="1:7" ht="15.75">
      <c r="A2602" s="33"/>
      <c r="B2602" s="33"/>
      <c r="G2602" s="33"/>
    </row>
    <row r="2603" spans="1:7" ht="15.75">
      <c r="A2603" s="33"/>
      <c r="B2603" s="33"/>
      <c r="G2603" s="33"/>
    </row>
    <row r="2604" spans="1:7" ht="15.75">
      <c r="A2604" s="33"/>
      <c r="B2604" s="33"/>
      <c r="G2604" s="33"/>
    </row>
    <row r="2605" spans="1:7" ht="15.75">
      <c r="A2605" s="33"/>
      <c r="B2605" s="33"/>
      <c r="G2605" s="33"/>
    </row>
    <row r="2606" spans="1:7" ht="15.75">
      <c r="A2606" s="33"/>
      <c r="B2606" s="33"/>
      <c r="G2606" s="33"/>
    </row>
    <row r="2607" spans="1:7" ht="15.75">
      <c r="A2607" s="33"/>
      <c r="B2607" s="33"/>
      <c r="G2607" s="33"/>
    </row>
    <row r="2608" spans="1:7" ht="15.75">
      <c r="A2608" s="33"/>
      <c r="B2608" s="33"/>
      <c r="G2608" s="33"/>
    </row>
    <row r="2609" spans="1:7" ht="15.75">
      <c r="A2609" s="33"/>
      <c r="B2609" s="33"/>
      <c r="G2609" s="33"/>
    </row>
    <row r="2610" spans="1:7" ht="15.75">
      <c r="A2610" s="33"/>
      <c r="B2610" s="33"/>
      <c r="G2610" s="33"/>
    </row>
    <row r="2611" spans="1:7" ht="15.75">
      <c r="A2611" s="33"/>
      <c r="B2611" s="33"/>
      <c r="G2611" s="33"/>
    </row>
    <row r="2612" spans="1:7" ht="15.75">
      <c r="A2612" s="33"/>
      <c r="B2612" s="33"/>
      <c r="G2612" s="33"/>
    </row>
    <row r="2613" spans="1:7" ht="15.75">
      <c r="A2613" s="33"/>
      <c r="B2613" s="33"/>
      <c r="G2613" s="33"/>
    </row>
    <row r="2614" spans="1:7" ht="15.75">
      <c r="A2614" s="33"/>
      <c r="B2614" s="33"/>
      <c r="G2614" s="33"/>
    </row>
    <row r="2615" spans="1:7" ht="15.75">
      <c r="A2615" s="33"/>
      <c r="B2615" s="33"/>
      <c r="G2615" s="33"/>
    </row>
    <row r="2616" spans="1:7" ht="15.75">
      <c r="A2616" s="33"/>
      <c r="B2616" s="33"/>
      <c r="G2616" s="33"/>
    </row>
    <row r="2617" spans="1:7" ht="15.75">
      <c r="A2617" s="33"/>
      <c r="B2617" s="33"/>
      <c r="G2617" s="33"/>
    </row>
    <row r="2618" spans="1:7" ht="15.75">
      <c r="A2618" s="33"/>
      <c r="B2618" s="33"/>
      <c r="G2618" s="33"/>
    </row>
    <row r="2619" spans="1:7" ht="15.75">
      <c r="A2619" s="33"/>
      <c r="B2619" s="33"/>
      <c r="G2619" s="33"/>
    </row>
    <row r="2620" spans="1:7" ht="15.75">
      <c r="A2620" s="33"/>
      <c r="B2620" s="33"/>
      <c r="G2620" s="33"/>
    </row>
    <row r="2621" spans="1:7" ht="15.75">
      <c r="A2621" s="33"/>
      <c r="B2621" s="33"/>
      <c r="G2621" s="33"/>
    </row>
    <row r="2622" spans="1:7" ht="15.75">
      <c r="A2622" s="33"/>
      <c r="B2622" s="33"/>
      <c r="G2622" s="33"/>
    </row>
    <row r="2623" spans="1:7" ht="15.75">
      <c r="A2623" s="33"/>
      <c r="B2623" s="33"/>
      <c r="G2623" s="33"/>
    </row>
    <row r="2624" spans="1:7" ht="15.75">
      <c r="A2624" s="33"/>
      <c r="B2624" s="33"/>
      <c r="G2624" s="33"/>
    </row>
    <row r="2625" spans="1:7" ht="15.75">
      <c r="A2625" s="33"/>
      <c r="B2625" s="33"/>
      <c r="G2625" s="33"/>
    </row>
    <row r="2626" spans="1:7" ht="15.75">
      <c r="A2626" s="33"/>
      <c r="B2626" s="33"/>
      <c r="G2626" s="33"/>
    </row>
    <row r="2627" spans="1:7" ht="15.75">
      <c r="A2627" s="33"/>
      <c r="B2627" s="33"/>
      <c r="G2627" s="33"/>
    </row>
    <row r="2628" spans="1:7" ht="15.75">
      <c r="A2628" s="33"/>
      <c r="B2628" s="33"/>
      <c r="G2628" s="33"/>
    </row>
    <row r="2629" spans="1:7" ht="15.75">
      <c r="A2629" s="33"/>
      <c r="B2629" s="33"/>
      <c r="G2629" s="33"/>
    </row>
    <row r="2630" spans="1:7" ht="15.75">
      <c r="A2630" s="33"/>
      <c r="B2630" s="33"/>
      <c r="G2630" s="33"/>
    </row>
    <row r="2631" spans="1:7" ht="15.75">
      <c r="A2631" s="33"/>
      <c r="B2631" s="33"/>
      <c r="G2631" s="33"/>
    </row>
    <row r="2632" spans="1:7" ht="15.75">
      <c r="A2632" s="33"/>
      <c r="B2632" s="33"/>
      <c r="G2632" s="33"/>
    </row>
    <row r="2633" spans="1:7" ht="15.75">
      <c r="A2633" s="33"/>
      <c r="B2633" s="33"/>
      <c r="G2633" s="33"/>
    </row>
    <row r="2634" spans="1:7" ht="15.75">
      <c r="A2634" s="33"/>
      <c r="B2634" s="33"/>
      <c r="G2634" s="33"/>
    </row>
    <row r="2635" spans="1:7" ht="15.75">
      <c r="A2635" s="33"/>
      <c r="B2635" s="33"/>
      <c r="G2635" s="33"/>
    </row>
    <row r="2636" spans="1:7" ht="15.75">
      <c r="A2636" s="33"/>
      <c r="B2636" s="33"/>
      <c r="G2636" s="33"/>
    </row>
    <row r="2637" spans="1:7" ht="15.75">
      <c r="A2637" s="33"/>
      <c r="B2637" s="33"/>
      <c r="G2637" s="33"/>
    </row>
    <row r="2638" spans="1:7" ht="15.75">
      <c r="A2638" s="33"/>
      <c r="B2638" s="33"/>
      <c r="G2638" s="33"/>
    </row>
    <row r="2639" spans="1:7" ht="15.75">
      <c r="A2639" s="33"/>
      <c r="B2639" s="33"/>
      <c r="G2639" s="33"/>
    </row>
    <row r="2640" spans="1:7" ht="15.75">
      <c r="A2640" s="33"/>
      <c r="B2640" s="33"/>
      <c r="G2640" s="33"/>
    </row>
    <row r="2641" spans="1:7" ht="15.75">
      <c r="A2641" s="33"/>
      <c r="B2641" s="33"/>
      <c r="G2641" s="33"/>
    </row>
    <row r="2642" spans="1:7" ht="15.75">
      <c r="A2642" s="33"/>
      <c r="B2642" s="33"/>
      <c r="G2642" s="33"/>
    </row>
    <row r="2643" spans="1:7" ht="15.75">
      <c r="A2643" s="33"/>
      <c r="B2643" s="33"/>
      <c r="G2643" s="33"/>
    </row>
    <row r="2644" spans="1:7" ht="15.75">
      <c r="A2644" s="33"/>
      <c r="B2644" s="33"/>
      <c r="G2644" s="33"/>
    </row>
    <row r="2645" spans="1:7" ht="15.75">
      <c r="A2645" s="33"/>
      <c r="B2645" s="33"/>
      <c r="G2645" s="33"/>
    </row>
    <row r="2646" spans="1:7" ht="15.75">
      <c r="A2646" s="33"/>
      <c r="B2646" s="33"/>
      <c r="G2646" s="33"/>
    </row>
    <row r="2647" spans="1:7" ht="15.75">
      <c r="A2647" s="33"/>
      <c r="B2647" s="33"/>
      <c r="G2647" s="33"/>
    </row>
    <row r="2648" spans="1:7" ht="15.75">
      <c r="A2648" s="33"/>
      <c r="B2648" s="33"/>
      <c r="G2648" s="33"/>
    </row>
    <row r="2649" spans="1:7" ht="15.75">
      <c r="A2649" s="33"/>
      <c r="B2649" s="33"/>
      <c r="G2649" s="33"/>
    </row>
    <row r="2650" spans="1:7" ht="15.75">
      <c r="A2650" s="33"/>
      <c r="B2650" s="33"/>
      <c r="G2650" s="33"/>
    </row>
    <row r="2651" spans="1:7" ht="15.75">
      <c r="A2651" s="33"/>
      <c r="B2651" s="33"/>
      <c r="G2651" s="33"/>
    </row>
    <row r="2652" spans="1:7" ht="15.75">
      <c r="A2652" s="33"/>
      <c r="B2652" s="33"/>
      <c r="G2652" s="33"/>
    </row>
    <row r="2653" spans="1:7" ht="15.75">
      <c r="A2653" s="33"/>
      <c r="B2653" s="33"/>
      <c r="G2653" s="33"/>
    </row>
    <row r="2654" spans="1:7" ht="15.75">
      <c r="A2654" s="33"/>
      <c r="B2654" s="33"/>
      <c r="G2654" s="33"/>
    </row>
    <row r="2655" spans="1:7" ht="15.75">
      <c r="A2655" s="33"/>
      <c r="B2655" s="33"/>
      <c r="G2655" s="33"/>
    </row>
    <row r="2656" spans="1:7" ht="15.75">
      <c r="A2656" s="33"/>
      <c r="B2656" s="33"/>
      <c r="G2656" s="33"/>
    </row>
    <row r="2657" spans="1:7" ht="15.75">
      <c r="A2657" s="33"/>
      <c r="B2657" s="33"/>
      <c r="G2657" s="33"/>
    </row>
    <row r="2658" spans="1:7" ht="15.75">
      <c r="A2658" s="33"/>
      <c r="B2658" s="33"/>
      <c r="G2658" s="33"/>
    </row>
    <row r="2659" spans="1:7" ht="15.75">
      <c r="A2659" s="33"/>
      <c r="B2659" s="33"/>
      <c r="G2659" s="33"/>
    </row>
    <row r="2660" spans="1:7" ht="15.75">
      <c r="A2660" s="33"/>
      <c r="B2660" s="33"/>
      <c r="G2660" s="33"/>
    </row>
    <row r="2661" spans="1:7" ht="15.75">
      <c r="A2661" s="33"/>
      <c r="B2661" s="33"/>
      <c r="G2661" s="33"/>
    </row>
    <row r="2662" spans="1:7" ht="15.75">
      <c r="A2662" s="33"/>
      <c r="B2662" s="33"/>
      <c r="G2662" s="33"/>
    </row>
    <row r="2663" spans="1:7" ht="15.75">
      <c r="A2663" s="33"/>
      <c r="B2663" s="33"/>
      <c r="G2663" s="33"/>
    </row>
    <row r="2664" spans="1:7" ht="15.75">
      <c r="A2664" s="33"/>
      <c r="B2664" s="33"/>
      <c r="G2664" s="33"/>
    </row>
    <row r="2665" spans="1:7" ht="15.75">
      <c r="A2665" s="33"/>
      <c r="B2665" s="33"/>
      <c r="G2665" s="33"/>
    </row>
    <row r="2666" spans="1:7" ht="15.75">
      <c r="A2666" s="33"/>
      <c r="B2666" s="33"/>
      <c r="G2666" s="33"/>
    </row>
    <row r="2667" spans="1:7" ht="15.75">
      <c r="A2667" s="33"/>
      <c r="B2667" s="33"/>
      <c r="G2667" s="33"/>
    </row>
    <row r="2668" spans="1:7" ht="15.75">
      <c r="A2668" s="33"/>
      <c r="B2668" s="33"/>
      <c r="G2668" s="33"/>
    </row>
    <row r="2669" spans="1:7" ht="15.75">
      <c r="A2669" s="33"/>
      <c r="B2669" s="33"/>
      <c r="G2669" s="33"/>
    </row>
    <row r="2670" spans="1:7" ht="15.75">
      <c r="A2670" s="33"/>
      <c r="B2670" s="33"/>
      <c r="G2670" s="33"/>
    </row>
    <row r="2671" spans="1:7" ht="15.75">
      <c r="A2671" s="33"/>
      <c r="B2671" s="33"/>
      <c r="G2671" s="33"/>
    </row>
    <row r="2672" spans="1:7" ht="15.75">
      <c r="A2672" s="33"/>
      <c r="B2672" s="33"/>
      <c r="G2672" s="33"/>
    </row>
    <row r="2673" spans="1:7" ht="15.75">
      <c r="A2673" s="33"/>
      <c r="B2673" s="33"/>
      <c r="G2673" s="33"/>
    </row>
    <row r="2674" spans="1:7" ht="15.75">
      <c r="A2674" s="33"/>
      <c r="B2674" s="33"/>
      <c r="G2674" s="33"/>
    </row>
    <row r="2675" spans="1:7" ht="15.75">
      <c r="A2675" s="33"/>
      <c r="B2675" s="33"/>
      <c r="G2675" s="33"/>
    </row>
    <row r="2676" spans="1:7" ht="15.75">
      <c r="A2676" s="33"/>
      <c r="B2676" s="33"/>
      <c r="G2676" s="33"/>
    </row>
    <row r="2677" spans="1:7" ht="15.75">
      <c r="A2677" s="33"/>
      <c r="B2677" s="33"/>
      <c r="G2677" s="33"/>
    </row>
    <row r="2678" spans="1:7" ht="15.75">
      <c r="A2678" s="33"/>
      <c r="B2678" s="33"/>
      <c r="G2678" s="33"/>
    </row>
    <row r="2679" spans="1:7" ht="15.75">
      <c r="A2679" s="33"/>
      <c r="B2679" s="33"/>
      <c r="G2679" s="33"/>
    </row>
    <row r="2680" spans="1:7" ht="15.75">
      <c r="A2680" s="33"/>
      <c r="B2680" s="33"/>
      <c r="G2680" s="33"/>
    </row>
    <row r="2681" spans="1:7" ht="15.75">
      <c r="A2681" s="33"/>
      <c r="B2681" s="33"/>
      <c r="G2681" s="33"/>
    </row>
    <row r="2682" spans="1:7" ht="15.75">
      <c r="A2682" s="33"/>
      <c r="B2682" s="33"/>
      <c r="G2682" s="33"/>
    </row>
    <row r="2683" spans="1:7" ht="15.75">
      <c r="A2683" s="33"/>
      <c r="B2683" s="33"/>
      <c r="G2683" s="33"/>
    </row>
    <row r="2684" spans="1:7" ht="15.75">
      <c r="A2684" s="33"/>
      <c r="B2684" s="33"/>
      <c r="G2684" s="33"/>
    </row>
    <row r="2685" spans="1:7" ht="15.75">
      <c r="A2685" s="33"/>
      <c r="B2685" s="33"/>
      <c r="G2685" s="33"/>
    </row>
    <row r="2686" spans="1:7" ht="15.75">
      <c r="A2686" s="33"/>
      <c r="B2686" s="33"/>
      <c r="G2686" s="33"/>
    </row>
    <row r="2687" spans="1:7" ht="15.75">
      <c r="A2687" s="33"/>
      <c r="B2687" s="33"/>
      <c r="G2687" s="33"/>
    </row>
    <row r="2688" spans="1:7" ht="15.75">
      <c r="A2688" s="33"/>
      <c r="B2688" s="33"/>
      <c r="G2688" s="33"/>
    </row>
    <row r="2689" spans="1:7" ht="15.75">
      <c r="A2689" s="33"/>
      <c r="B2689" s="33"/>
      <c r="G2689" s="33"/>
    </row>
    <row r="2690" spans="1:7" ht="15.75">
      <c r="A2690" s="33"/>
      <c r="B2690" s="33"/>
      <c r="G2690" s="33"/>
    </row>
    <row r="2691" spans="1:7" ht="15.75">
      <c r="A2691" s="33"/>
      <c r="B2691" s="33"/>
      <c r="G2691" s="33"/>
    </row>
    <row r="2692" spans="1:7" ht="15.75">
      <c r="A2692" s="33"/>
      <c r="B2692" s="33"/>
      <c r="G2692" s="33"/>
    </row>
    <row r="2693" spans="1:7" ht="15.75">
      <c r="A2693" s="33"/>
      <c r="B2693" s="33"/>
      <c r="G2693" s="33"/>
    </row>
    <row r="2694" spans="1:7" ht="15.75">
      <c r="A2694" s="33"/>
      <c r="B2694" s="33"/>
      <c r="G2694" s="33"/>
    </row>
    <row r="2695" spans="1:7" ht="15.75">
      <c r="A2695" s="33"/>
      <c r="B2695" s="33"/>
      <c r="G2695" s="33"/>
    </row>
    <row r="2696" spans="1:7" ht="15.75">
      <c r="A2696" s="33"/>
      <c r="B2696" s="33"/>
      <c r="G2696" s="33"/>
    </row>
    <row r="2697" spans="1:7" ht="15.75">
      <c r="A2697" s="33"/>
      <c r="B2697" s="33"/>
      <c r="G2697" s="33"/>
    </row>
    <row r="2698" spans="1:7" ht="15.75">
      <c r="A2698" s="33"/>
      <c r="B2698" s="33"/>
      <c r="G2698" s="33"/>
    </row>
    <row r="2699" spans="1:7" ht="15.75">
      <c r="A2699" s="33"/>
      <c r="B2699" s="33"/>
      <c r="G2699" s="33"/>
    </row>
    <row r="2700" spans="1:7" ht="15.75">
      <c r="A2700" s="33"/>
      <c r="B2700" s="33"/>
      <c r="G2700" s="33"/>
    </row>
    <row r="2701" spans="1:7" ht="15.75">
      <c r="A2701" s="33"/>
      <c r="B2701" s="33"/>
      <c r="G2701" s="33"/>
    </row>
    <row r="2702" spans="1:7" ht="15.75">
      <c r="A2702" s="33"/>
      <c r="B2702" s="33"/>
      <c r="G2702" s="33"/>
    </row>
    <row r="2703" spans="1:7" ht="15.75">
      <c r="A2703" s="33"/>
      <c r="B2703" s="33"/>
      <c r="G2703" s="33"/>
    </row>
    <row r="2704" spans="1:7" ht="15.75">
      <c r="A2704" s="33"/>
      <c r="B2704" s="33"/>
      <c r="G2704" s="33"/>
    </row>
    <row r="2705" spans="1:7" ht="15.75">
      <c r="A2705" s="33"/>
      <c r="B2705" s="33"/>
      <c r="G2705" s="33"/>
    </row>
    <row r="2706" spans="1:7" ht="15.75">
      <c r="A2706" s="33"/>
      <c r="B2706" s="33"/>
      <c r="G2706" s="33"/>
    </row>
    <row r="2707" spans="1:7" ht="15.75">
      <c r="A2707" s="33"/>
      <c r="B2707" s="33"/>
      <c r="G2707" s="33"/>
    </row>
    <row r="2708" spans="1:7" ht="15.75">
      <c r="A2708" s="33"/>
      <c r="B2708" s="33"/>
      <c r="G2708" s="33"/>
    </row>
    <row r="2709" spans="1:7" ht="15.75">
      <c r="A2709" s="33"/>
      <c r="B2709" s="33"/>
      <c r="G2709" s="33"/>
    </row>
    <row r="2710" spans="1:7" ht="15.75">
      <c r="A2710" s="33"/>
      <c r="B2710" s="33"/>
      <c r="G2710" s="33"/>
    </row>
    <row r="2711" spans="1:7" ht="15.75">
      <c r="A2711" s="33"/>
      <c r="B2711" s="33"/>
      <c r="G2711" s="33"/>
    </row>
    <row r="2712" spans="1:7" ht="15.75">
      <c r="A2712" s="33"/>
      <c r="B2712" s="33"/>
      <c r="G2712" s="33"/>
    </row>
    <row r="2713" spans="1:7" ht="15.75">
      <c r="A2713" s="33"/>
      <c r="B2713" s="33"/>
      <c r="G2713" s="33"/>
    </row>
    <row r="2714" spans="1:7" ht="15.75">
      <c r="A2714" s="33"/>
      <c r="B2714" s="33"/>
      <c r="G2714" s="33"/>
    </row>
    <row r="2715" spans="1:7" ht="15.75">
      <c r="A2715" s="33"/>
      <c r="B2715" s="33"/>
      <c r="G2715" s="33"/>
    </row>
    <row r="2716" spans="1:7" ht="15.75">
      <c r="A2716" s="33"/>
      <c r="B2716" s="33"/>
      <c r="G2716" s="33"/>
    </row>
    <row r="2717" spans="1:7" ht="15.75">
      <c r="A2717" s="33"/>
      <c r="B2717" s="33"/>
      <c r="G2717" s="33"/>
    </row>
    <row r="2718" spans="1:7" ht="15.75">
      <c r="A2718" s="33"/>
      <c r="B2718" s="33"/>
      <c r="G2718" s="33"/>
    </row>
    <row r="2719" spans="1:7" ht="15.75">
      <c r="A2719" s="33"/>
      <c r="B2719" s="33"/>
      <c r="G2719" s="33"/>
    </row>
    <row r="2720" spans="1:7" ht="15.75">
      <c r="A2720" s="33"/>
      <c r="B2720" s="33"/>
      <c r="G2720" s="33"/>
    </row>
    <row r="2721" spans="1:7" ht="15.75">
      <c r="A2721" s="33"/>
      <c r="B2721" s="33"/>
      <c r="G2721" s="33"/>
    </row>
    <row r="2722" spans="1:7" ht="15.75">
      <c r="A2722" s="33"/>
      <c r="B2722" s="33"/>
      <c r="G2722" s="33"/>
    </row>
    <row r="2723" spans="1:7" ht="15.75">
      <c r="A2723" s="33"/>
      <c r="B2723" s="33"/>
      <c r="G2723" s="33"/>
    </row>
    <row r="2724" spans="1:7" ht="15.75">
      <c r="A2724" s="33"/>
      <c r="B2724" s="33"/>
      <c r="G2724" s="33"/>
    </row>
    <row r="2725" spans="1:7" ht="15.75">
      <c r="A2725" s="33"/>
      <c r="B2725" s="33"/>
      <c r="G2725" s="33"/>
    </row>
    <row r="2726" spans="1:7" ht="15.75">
      <c r="A2726" s="33"/>
      <c r="B2726" s="33"/>
      <c r="G2726" s="33"/>
    </row>
    <row r="2727" spans="1:7" ht="15.75">
      <c r="A2727" s="33"/>
      <c r="B2727" s="33"/>
      <c r="G2727" s="33"/>
    </row>
    <row r="2728" spans="1:7" ht="15.75">
      <c r="A2728" s="33"/>
      <c r="B2728" s="33"/>
      <c r="G2728" s="33"/>
    </row>
    <row r="2729" spans="1:7" ht="15.75">
      <c r="A2729" s="33"/>
      <c r="B2729" s="33"/>
      <c r="G2729" s="33"/>
    </row>
    <row r="2730" spans="1:7" ht="15.75">
      <c r="A2730" s="33"/>
      <c r="B2730" s="33"/>
      <c r="G2730" s="33"/>
    </row>
    <row r="2731" spans="1:7" ht="15.75">
      <c r="A2731" s="33"/>
      <c r="B2731" s="33"/>
      <c r="G2731" s="33"/>
    </row>
    <row r="2732" spans="1:7" ht="15.75">
      <c r="A2732" s="33"/>
      <c r="B2732" s="33"/>
      <c r="G2732" s="33"/>
    </row>
    <row r="2733" spans="1:7" ht="15.75">
      <c r="A2733" s="33"/>
      <c r="B2733" s="33"/>
      <c r="G2733" s="33"/>
    </row>
    <row r="2734" spans="1:7" ht="15.75">
      <c r="A2734" s="33"/>
      <c r="B2734" s="33"/>
      <c r="G2734" s="33"/>
    </row>
    <row r="2735" spans="1:7" ht="15.75">
      <c r="A2735" s="33"/>
      <c r="B2735" s="33"/>
      <c r="G2735" s="33"/>
    </row>
    <row r="2736" spans="1:7" ht="15.75">
      <c r="A2736" s="33"/>
      <c r="B2736" s="33"/>
      <c r="G2736" s="33"/>
    </row>
    <row r="2737" spans="1:7" ht="15.75">
      <c r="A2737" s="33"/>
      <c r="B2737" s="33"/>
      <c r="G2737" s="33"/>
    </row>
    <row r="2738" spans="1:7" ht="15.75">
      <c r="A2738" s="33"/>
      <c r="B2738" s="33"/>
      <c r="G2738" s="33"/>
    </row>
    <row r="2739" spans="1:7" ht="15.75">
      <c r="A2739" s="33"/>
      <c r="B2739" s="33"/>
      <c r="G2739" s="33"/>
    </row>
    <row r="2740" spans="1:7" ht="15.75">
      <c r="A2740" s="33"/>
      <c r="B2740" s="33"/>
      <c r="G2740" s="33"/>
    </row>
    <row r="2741" spans="1:7" ht="15.75">
      <c r="A2741" s="33"/>
      <c r="B2741" s="33"/>
      <c r="G2741" s="33"/>
    </row>
    <row r="2742" spans="1:7" ht="15.75">
      <c r="A2742" s="33"/>
      <c r="B2742" s="33"/>
      <c r="G2742" s="33"/>
    </row>
    <row r="2743" spans="1:7" ht="15.75">
      <c r="A2743" s="33"/>
      <c r="B2743" s="33"/>
      <c r="G2743" s="33"/>
    </row>
    <row r="2744" spans="1:7" ht="15.75">
      <c r="A2744" s="33"/>
      <c r="B2744" s="33"/>
      <c r="G2744" s="33"/>
    </row>
    <row r="2745" spans="1:7" ht="15.75">
      <c r="A2745" s="33"/>
      <c r="B2745" s="33"/>
      <c r="G2745" s="33"/>
    </row>
    <row r="2746" spans="1:7" ht="15.75">
      <c r="A2746" s="33"/>
      <c r="B2746" s="33"/>
      <c r="G2746" s="33"/>
    </row>
    <row r="2747" spans="1:7" ht="15.75">
      <c r="A2747" s="33"/>
      <c r="B2747" s="33"/>
      <c r="G2747" s="33"/>
    </row>
    <row r="2748" spans="1:7" ht="15.75">
      <c r="A2748" s="33"/>
      <c r="B2748" s="33"/>
      <c r="G2748" s="33"/>
    </row>
    <row r="2749" spans="1:7" ht="15.75">
      <c r="A2749" s="33"/>
      <c r="B2749" s="33"/>
      <c r="G2749" s="33"/>
    </row>
    <row r="2750" spans="1:7" ht="15.75">
      <c r="A2750" s="33"/>
      <c r="B2750" s="33"/>
      <c r="G2750" s="33"/>
    </row>
    <row r="2751" spans="1:7" ht="15.75">
      <c r="A2751" s="33"/>
      <c r="B2751" s="33"/>
      <c r="G2751" s="33"/>
    </row>
    <row r="2752" spans="1:7" ht="15.75">
      <c r="A2752" s="33"/>
      <c r="B2752" s="33"/>
      <c r="G2752" s="33"/>
    </row>
    <row r="2753" spans="1:7" ht="15.75">
      <c r="A2753" s="33"/>
      <c r="B2753" s="33"/>
      <c r="G2753" s="33"/>
    </row>
    <row r="2754" spans="1:7" ht="15.75">
      <c r="A2754" s="33"/>
      <c r="B2754" s="33"/>
      <c r="G2754" s="33"/>
    </row>
    <row r="2755" spans="1:7" ht="15.75">
      <c r="A2755" s="33"/>
      <c r="B2755" s="33"/>
      <c r="G2755" s="33"/>
    </row>
    <row r="2756" spans="1:7" ht="15.75">
      <c r="A2756" s="33"/>
      <c r="B2756" s="33"/>
      <c r="G2756" s="33"/>
    </row>
    <row r="2757" spans="1:7" ht="15.75">
      <c r="A2757" s="33"/>
      <c r="B2757" s="33"/>
      <c r="G2757" s="33"/>
    </row>
    <row r="2758" spans="1:7" ht="15.75">
      <c r="A2758" s="33"/>
      <c r="B2758" s="33"/>
      <c r="G2758" s="33"/>
    </row>
    <row r="2759" spans="1:7" ht="15.75">
      <c r="A2759" s="33"/>
      <c r="B2759" s="33"/>
      <c r="G2759" s="33"/>
    </row>
    <row r="2760" spans="1:7" ht="15.75">
      <c r="A2760" s="33"/>
      <c r="B2760" s="33"/>
      <c r="G2760" s="33"/>
    </row>
    <row r="2761" spans="1:7" ht="15.75">
      <c r="A2761" s="33"/>
      <c r="B2761" s="33"/>
      <c r="G2761" s="33"/>
    </row>
    <row r="2762" spans="1:7" ht="15.75">
      <c r="A2762" s="33"/>
      <c r="B2762" s="33"/>
      <c r="G2762" s="33"/>
    </row>
    <row r="2763" spans="1:7" ht="15.75">
      <c r="A2763" s="33"/>
      <c r="B2763" s="33"/>
      <c r="G2763" s="33"/>
    </row>
    <row r="2764" spans="1:7" ht="15.75">
      <c r="A2764" s="33"/>
      <c r="B2764" s="33"/>
      <c r="G2764" s="33"/>
    </row>
    <row r="2765" spans="1:7" ht="15.75">
      <c r="A2765" s="33"/>
      <c r="B2765" s="33"/>
      <c r="G2765" s="33"/>
    </row>
    <row r="2766" spans="1:7" ht="15.75">
      <c r="A2766" s="33"/>
      <c r="B2766" s="33"/>
      <c r="G2766" s="33"/>
    </row>
    <row r="2767" spans="1:7" ht="15.75">
      <c r="A2767" s="33"/>
      <c r="B2767" s="33"/>
      <c r="G2767" s="33"/>
    </row>
    <row r="2768" spans="1:7" ht="15.75">
      <c r="A2768" s="33"/>
      <c r="B2768" s="33"/>
      <c r="G2768" s="33"/>
    </row>
    <row r="2769" spans="1:7" ht="15.75">
      <c r="A2769" s="33"/>
      <c r="B2769" s="33"/>
      <c r="G2769" s="33"/>
    </row>
    <row r="2770" spans="1:7" ht="15.75">
      <c r="A2770" s="33"/>
      <c r="B2770" s="33"/>
      <c r="G2770" s="33"/>
    </row>
    <row r="2771" spans="1:7" ht="15.75">
      <c r="A2771" s="33"/>
      <c r="B2771" s="33"/>
      <c r="G2771" s="33"/>
    </row>
    <row r="2772" spans="1:7" ht="15.75">
      <c r="A2772" s="33"/>
      <c r="B2772" s="33"/>
      <c r="G2772" s="33"/>
    </row>
    <row r="2773" spans="1:7" ht="15.75">
      <c r="A2773" s="33"/>
      <c r="B2773" s="33"/>
      <c r="G2773" s="33"/>
    </row>
    <row r="2774" spans="1:7" ht="15.75">
      <c r="A2774" s="33"/>
      <c r="B2774" s="33"/>
      <c r="G2774" s="33"/>
    </row>
    <row r="2775" spans="1:7" ht="15.75">
      <c r="A2775" s="33"/>
      <c r="B2775" s="33"/>
      <c r="G2775" s="33"/>
    </row>
    <row r="2776" spans="1:7" ht="15.75">
      <c r="A2776" s="33"/>
      <c r="B2776" s="33"/>
      <c r="G2776" s="33"/>
    </row>
    <row r="2777" spans="1:7" ht="15.75">
      <c r="A2777" s="33"/>
      <c r="B2777" s="33"/>
      <c r="G2777" s="33"/>
    </row>
    <row r="2778" spans="1:7" ht="15.75">
      <c r="A2778" s="33"/>
      <c r="B2778" s="33"/>
      <c r="G2778" s="33"/>
    </row>
    <row r="2779" spans="1:7" ht="15.75">
      <c r="A2779" s="33"/>
      <c r="B2779" s="33"/>
      <c r="G2779" s="33"/>
    </row>
    <row r="2780" spans="1:7" ht="15.75">
      <c r="A2780" s="33"/>
      <c r="B2780" s="33"/>
      <c r="G2780" s="33"/>
    </row>
    <row r="2781" spans="1:7" ht="15.75">
      <c r="A2781" s="33"/>
      <c r="B2781" s="33"/>
      <c r="G2781" s="33"/>
    </row>
    <row r="2782" spans="1:7" ht="15.75">
      <c r="A2782" s="33"/>
      <c r="B2782" s="33"/>
      <c r="G2782" s="33"/>
    </row>
    <row r="2783" spans="1:7" ht="15.75">
      <c r="A2783" s="33"/>
      <c r="B2783" s="33"/>
      <c r="G2783" s="33"/>
    </row>
    <row r="2784" spans="1:7" ht="15.75">
      <c r="A2784" s="33"/>
      <c r="B2784" s="33"/>
      <c r="G2784" s="33"/>
    </row>
    <row r="2785" spans="1:7" ht="15.75">
      <c r="A2785" s="33"/>
      <c r="B2785" s="33"/>
      <c r="G2785" s="33"/>
    </row>
    <row r="2786" spans="1:7" ht="15.75">
      <c r="A2786" s="33"/>
      <c r="B2786" s="33"/>
      <c r="G2786" s="33"/>
    </row>
    <row r="2787" spans="1:7" ht="15.75">
      <c r="A2787" s="33"/>
      <c r="B2787" s="33"/>
      <c r="G2787" s="33"/>
    </row>
    <row r="2788" spans="1:7" ht="15.75">
      <c r="A2788" s="33"/>
      <c r="B2788" s="33"/>
      <c r="G2788" s="33"/>
    </row>
    <row r="2789" spans="1:7" ht="15.75">
      <c r="A2789" s="33"/>
      <c r="B2789" s="33"/>
      <c r="G2789" s="33"/>
    </row>
    <row r="2790" spans="1:7" ht="15.75">
      <c r="A2790" s="33"/>
      <c r="B2790" s="33"/>
      <c r="G2790" s="33"/>
    </row>
    <row r="2791" spans="1:7" ht="15.75">
      <c r="A2791" s="33"/>
      <c r="B2791" s="33"/>
      <c r="G2791" s="33"/>
    </row>
    <row r="2792" spans="1:7" ht="15.75">
      <c r="A2792" s="33"/>
      <c r="B2792" s="33"/>
      <c r="G2792" s="33"/>
    </row>
    <row r="2793" spans="1:7" ht="15.75">
      <c r="A2793" s="33"/>
      <c r="B2793" s="33"/>
      <c r="G2793" s="33"/>
    </row>
    <row r="2794" spans="1:7" ht="15.75">
      <c r="A2794" s="33"/>
      <c r="B2794" s="33"/>
      <c r="G2794" s="33"/>
    </row>
    <row r="2795" spans="1:7" ht="15.75">
      <c r="A2795" s="33"/>
      <c r="B2795" s="33"/>
      <c r="G2795" s="33"/>
    </row>
    <row r="2796" spans="1:7" ht="15.75">
      <c r="A2796" s="33"/>
      <c r="B2796" s="33"/>
      <c r="G2796" s="33"/>
    </row>
    <row r="2797" spans="1:7" ht="15.75">
      <c r="A2797" s="33"/>
      <c r="B2797" s="33"/>
      <c r="G2797" s="33"/>
    </row>
    <row r="2798" spans="1:7" ht="15.75">
      <c r="A2798" s="33"/>
      <c r="B2798" s="33"/>
      <c r="G2798" s="33"/>
    </row>
    <row r="2799" spans="1:7" ht="15.75">
      <c r="A2799" s="33"/>
      <c r="B2799" s="33"/>
      <c r="G2799" s="33"/>
    </row>
    <row r="2800" spans="1:7" ht="15.75">
      <c r="A2800" s="33"/>
      <c r="B2800" s="33"/>
      <c r="G2800" s="33"/>
    </row>
    <row r="2801" spans="1:7" ht="15.75">
      <c r="A2801" s="33"/>
      <c r="B2801" s="33"/>
      <c r="G2801" s="33"/>
    </row>
    <row r="2802" spans="1:7" ht="15.75">
      <c r="A2802" s="33"/>
      <c r="B2802" s="33"/>
      <c r="G2802" s="33"/>
    </row>
    <row r="2803" spans="1:7" ht="15.75">
      <c r="A2803" s="33"/>
      <c r="B2803" s="33"/>
      <c r="G2803" s="33"/>
    </row>
    <row r="2804" spans="1:7" ht="15.75">
      <c r="A2804" s="33"/>
      <c r="B2804" s="33"/>
      <c r="G2804" s="33"/>
    </row>
    <row r="2805" spans="1:7" ht="15.75">
      <c r="A2805" s="33"/>
      <c r="B2805" s="33"/>
      <c r="G2805" s="33"/>
    </row>
    <row r="2806" spans="1:7" ht="15.75">
      <c r="A2806" s="33"/>
      <c r="B2806" s="33"/>
      <c r="G2806" s="33"/>
    </row>
    <row r="2807" spans="1:7" ht="15.75">
      <c r="A2807" s="33"/>
      <c r="B2807" s="33"/>
      <c r="G2807" s="33"/>
    </row>
    <row r="2808" spans="1:7" ht="15.75">
      <c r="A2808" s="33"/>
      <c r="B2808" s="33"/>
      <c r="G2808" s="33"/>
    </row>
    <row r="2809" spans="1:7" ht="15.75">
      <c r="A2809" s="33"/>
      <c r="B2809" s="33"/>
      <c r="G2809" s="33"/>
    </row>
    <row r="2810" spans="1:7" ht="15.75">
      <c r="A2810" s="33"/>
      <c r="B2810" s="33"/>
      <c r="G2810" s="33"/>
    </row>
    <row r="2811" spans="1:7" ht="15.75">
      <c r="A2811" s="33"/>
      <c r="B2811" s="33"/>
      <c r="G2811" s="33"/>
    </row>
    <row r="2812" spans="1:7" ht="15.75">
      <c r="A2812" s="33"/>
      <c r="B2812" s="33"/>
      <c r="G2812" s="33"/>
    </row>
    <row r="2813" spans="1:7" ht="15.75">
      <c r="A2813" s="33"/>
      <c r="B2813" s="33"/>
      <c r="G2813" s="33"/>
    </row>
    <row r="2814" spans="1:7" ht="15.75">
      <c r="A2814" s="33"/>
      <c r="B2814" s="33"/>
      <c r="G2814" s="33"/>
    </row>
    <row r="2815" spans="1:7" ht="15.75">
      <c r="A2815" s="33"/>
      <c r="B2815" s="33"/>
      <c r="G2815" s="33"/>
    </row>
    <row r="2816" spans="1:7" ht="15.75">
      <c r="A2816" s="33"/>
      <c r="B2816" s="33"/>
      <c r="G2816" s="33"/>
    </row>
    <row r="2817" spans="1:7" ht="15.75">
      <c r="A2817" s="33"/>
      <c r="B2817" s="33"/>
      <c r="G2817" s="33"/>
    </row>
    <row r="2818" spans="1:7" ht="15.75">
      <c r="A2818" s="33"/>
      <c r="B2818" s="33"/>
      <c r="G2818" s="33"/>
    </row>
    <row r="2819" spans="1:7" ht="15.75">
      <c r="A2819" s="33"/>
      <c r="B2819" s="33"/>
      <c r="G2819" s="33"/>
    </row>
    <row r="2820" spans="1:7" ht="15.75">
      <c r="A2820" s="33"/>
      <c r="B2820" s="33"/>
      <c r="G2820" s="33"/>
    </row>
    <row r="2821" spans="1:7" ht="15.75">
      <c r="A2821" s="33"/>
      <c r="B2821" s="33"/>
      <c r="G2821" s="33"/>
    </row>
    <row r="2822" spans="1:7" ht="15.75">
      <c r="A2822" s="33"/>
      <c r="B2822" s="33"/>
      <c r="G2822" s="33"/>
    </row>
    <row r="2823" spans="1:7" ht="15.75">
      <c r="A2823" s="33"/>
      <c r="B2823" s="33"/>
      <c r="G2823" s="33"/>
    </row>
    <row r="2824" spans="1:7" ht="15.75">
      <c r="A2824" s="33"/>
      <c r="B2824" s="33"/>
      <c r="G2824" s="33"/>
    </row>
    <row r="2825" spans="1:7" ht="15.75">
      <c r="A2825" s="33"/>
      <c r="B2825" s="33"/>
      <c r="G2825" s="33"/>
    </row>
    <row r="2826" spans="1:7" ht="15.75">
      <c r="A2826" s="33"/>
      <c r="B2826" s="33"/>
      <c r="G2826" s="33"/>
    </row>
    <row r="2827" spans="1:7" ht="15.75">
      <c r="A2827" s="33"/>
      <c r="B2827" s="33"/>
      <c r="G2827" s="33"/>
    </row>
    <row r="2828" spans="1:7" ht="15.75">
      <c r="A2828" s="33"/>
      <c r="B2828" s="33"/>
      <c r="G2828" s="33"/>
    </row>
    <row r="2829" spans="1:7" ht="15.75">
      <c r="A2829" s="33"/>
      <c r="B2829" s="33"/>
      <c r="G2829" s="33"/>
    </row>
    <row r="2830" spans="1:7" ht="15.75">
      <c r="A2830" s="33"/>
      <c r="B2830" s="33"/>
      <c r="G2830" s="33"/>
    </row>
    <row r="2831" spans="1:7" ht="15.75">
      <c r="A2831" s="33"/>
      <c r="B2831" s="33"/>
      <c r="G2831" s="33"/>
    </row>
    <row r="2832" spans="1:7" ht="15.75">
      <c r="A2832" s="33"/>
      <c r="B2832" s="33"/>
      <c r="G2832" s="33"/>
    </row>
    <row r="2833" spans="1:7" ht="15.75">
      <c r="A2833" s="33"/>
      <c r="B2833" s="33"/>
      <c r="G2833" s="33"/>
    </row>
    <row r="2834" spans="1:7" ht="15.75">
      <c r="A2834" s="33"/>
      <c r="B2834" s="33"/>
      <c r="G2834" s="33"/>
    </row>
    <row r="2835" spans="1:7" ht="15.75">
      <c r="A2835" s="33"/>
      <c r="B2835" s="33"/>
      <c r="G2835" s="33"/>
    </row>
    <row r="2836" spans="1:7" ht="15.75">
      <c r="A2836" s="33"/>
      <c r="B2836" s="33"/>
      <c r="G2836" s="33"/>
    </row>
    <row r="2837" spans="1:7" ht="15.75">
      <c r="A2837" s="33"/>
      <c r="B2837" s="33"/>
      <c r="G2837" s="33"/>
    </row>
    <row r="2838" spans="1:7" ht="15.75">
      <c r="A2838" s="33"/>
      <c r="B2838" s="33"/>
      <c r="G2838" s="33"/>
    </row>
    <row r="2839" spans="1:7" ht="15.75">
      <c r="A2839" s="33"/>
      <c r="B2839" s="33"/>
      <c r="G2839" s="33"/>
    </row>
    <row r="2840" spans="1:7" ht="15.75">
      <c r="A2840" s="33"/>
      <c r="B2840" s="33"/>
      <c r="G2840" s="33"/>
    </row>
    <row r="2841" spans="1:7" ht="15.75">
      <c r="A2841" s="33"/>
      <c r="B2841" s="33"/>
      <c r="G2841" s="33"/>
    </row>
    <row r="2842" spans="1:7" ht="15.75">
      <c r="A2842" s="33"/>
      <c r="B2842" s="33"/>
      <c r="G2842" s="33"/>
    </row>
    <row r="2843" spans="1:7" ht="15.75">
      <c r="A2843" s="33"/>
      <c r="B2843" s="33"/>
      <c r="G2843" s="33"/>
    </row>
    <row r="2844" spans="1:7" ht="15.75">
      <c r="A2844" s="33"/>
      <c r="B2844" s="33"/>
      <c r="G2844" s="33"/>
    </row>
    <row r="2845" spans="1:7" ht="15.75">
      <c r="A2845" s="33"/>
      <c r="B2845" s="33"/>
      <c r="G2845" s="33"/>
    </row>
    <row r="2846" spans="1:7" ht="15.75">
      <c r="A2846" s="33"/>
      <c r="B2846" s="33"/>
      <c r="G2846" s="33"/>
    </row>
    <row r="2847" spans="1:7" ht="15.75">
      <c r="A2847" s="33"/>
      <c r="B2847" s="33"/>
      <c r="G2847" s="33"/>
    </row>
    <row r="2848" spans="1:7" ht="15.75">
      <c r="A2848" s="33"/>
      <c r="B2848" s="33"/>
      <c r="G2848" s="33"/>
    </row>
    <row r="2849" spans="1:7" ht="15.75">
      <c r="A2849" s="33"/>
      <c r="B2849" s="33"/>
      <c r="G2849" s="33"/>
    </row>
    <row r="2850" spans="1:7" ht="15.75">
      <c r="A2850" s="33"/>
      <c r="B2850" s="33"/>
      <c r="G2850" s="33"/>
    </row>
    <row r="2851" spans="1:7" ht="15.75">
      <c r="A2851" s="33"/>
      <c r="B2851" s="33"/>
      <c r="G2851" s="33"/>
    </row>
    <row r="2852" spans="1:7" ht="15.75">
      <c r="A2852" s="33"/>
      <c r="B2852" s="33"/>
      <c r="G2852" s="33"/>
    </row>
    <row r="2853" spans="1:7" ht="15.75">
      <c r="A2853" s="33"/>
      <c r="B2853" s="33"/>
      <c r="G2853" s="33"/>
    </row>
    <row r="2854" spans="1:7" ht="15.75">
      <c r="A2854" s="33"/>
      <c r="B2854" s="33"/>
      <c r="G2854" s="33"/>
    </row>
    <row r="2855" spans="1:7" ht="15.75">
      <c r="A2855" s="33"/>
      <c r="B2855" s="33"/>
      <c r="G2855" s="33"/>
    </row>
    <row r="2856" spans="1:7" ht="15.75">
      <c r="A2856" s="33"/>
      <c r="B2856" s="33"/>
      <c r="G2856" s="33"/>
    </row>
    <row r="2857" spans="1:7" ht="15.75">
      <c r="A2857" s="33"/>
      <c r="B2857" s="33"/>
      <c r="G2857" s="33"/>
    </row>
    <row r="2858" spans="1:7" ht="15.75">
      <c r="A2858" s="33"/>
      <c r="B2858" s="33"/>
      <c r="G2858" s="33"/>
    </row>
    <row r="2859" spans="1:7" ht="15.75">
      <c r="A2859" s="33"/>
      <c r="B2859" s="33"/>
      <c r="G2859" s="33"/>
    </row>
    <row r="2860" spans="1:7" ht="15.75">
      <c r="A2860" s="33"/>
      <c r="B2860" s="33"/>
      <c r="G2860" s="33"/>
    </row>
    <row r="2861" spans="1:7" ht="15.75">
      <c r="A2861" s="33"/>
      <c r="B2861" s="33"/>
      <c r="G2861" s="33"/>
    </row>
    <row r="2862" spans="1:7" ht="15.75">
      <c r="A2862" s="33"/>
      <c r="B2862" s="33"/>
      <c r="G2862" s="33"/>
    </row>
    <row r="2863" spans="1:7" ht="15.75">
      <c r="A2863" s="33"/>
      <c r="B2863" s="33"/>
      <c r="G2863" s="33"/>
    </row>
    <row r="2864" spans="1:7" ht="15.75">
      <c r="A2864" s="33"/>
      <c r="B2864" s="33"/>
      <c r="G2864" s="33"/>
    </row>
    <row r="2865" spans="1:7" ht="15.75">
      <c r="A2865" s="33"/>
      <c r="B2865" s="33"/>
      <c r="G2865" s="33"/>
    </row>
    <row r="2866" spans="1:7" ht="15.75">
      <c r="A2866" s="33"/>
      <c r="B2866" s="33"/>
      <c r="G2866" s="33"/>
    </row>
    <row r="2867" spans="1:7" ht="15.75">
      <c r="A2867" s="33"/>
      <c r="B2867" s="33"/>
      <c r="G2867" s="33"/>
    </row>
    <row r="2868" spans="1:7" ht="15.75">
      <c r="A2868" s="33"/>
      <c r="B2868" s="33"/>
      <c r="G2868" s="33"/>
    </row>
    <row r="2869" spans="1:7" ht="15.75">
      <c r="A2869" s="33"/>
      <c r="B2869" s="33"/>
      <c r="G2869" s="33"/>
    </row>
    <row r="2870" spans="1:7" ht="15.75">
      <c r="A2870" s="33"/>
      <c r="B2870" s="33"/>
      <c r="G2870" s="33"/>
    </row>
    <row r="2871" spans="1:7" ht="15.75">
      <c r="A2871" s="33"/>
      <c r="B2871" s="33"/>
      <c r="G2871" s="33"/>
    </row>
    <row r="2872" spans="1:7" ht="15.75">
      <c r="A2872" s="33"/>
      <c r="B2872" s="33"/>
      <c r="G2872" s="33"/>
    </row>
    <row r="2873" spans="1:7" ht="15.75">
      <c r="A2873" s="33"/>
      <c r="B2873" s="33"/>
      <c r="G2873" s="33"/>
    </row>
    <row r="2874" spans="1:7" ht="15.75">
      <c r="A2874" s="33"/>
      <c r="B2874" s="33"/>
      <c r="G2874" s="33"/>
    </row>
    <row r="2875" spans="1:7" ht="15.75">
      <c r="A2875" s="33"/>
      <c r="B2875" s="33"/>
      <c r="G2875" s="33"/>
    </row>
    <row r="2876" spans="1:7" ht="15.75">
      <c r="A2876" s="33"/>
      <c r="B2876" s="33"/>
      <c r="G2876" s="33"/>
    </row>
    <row r="2877" spans="1:7" ht="15.75">
      <c r="A2877" s="33"/>
      <c r="B2877" s="33"/>
      <c r="G2877" s="33"/>
    </row>
    <row r="2878" spans="1:7" ht="15.75">
      <c r="A2878" s="33"/>
      <c r="B2878" s="33"/>
      <c r="G2878" s="33"/>
    </row>
    <row r="2879" spans="1:7" ht="15.75">
      <c r="A2879" s="33"/>
      <c r="B2879" s="33"/>
      <c r="G2879" s="33"/>
    </row>
    <row r="2880" spans="1:7" ht="15.75">
      <c r="A2880" s="33"/>
      <c r="B2880" s="33"/>
      <c r="G2880" s="33"/>
    </row>
    <row r="2881" spans="1:7" ht="15.75">
      <c r="A2881" s="33"/>
      <c r="B2881" s="33"/>
      <c r="G2881" s="33"/>
    </row>
    <row r="2882" spans="1:7" ht="15.75">
      <c r="A2882" s="33"/>
      <c r="B2882" s="33"/>
      <c r="G2882" s="33"/>
    </row>
    <row r="2883" spans="1:7" ht="15.75">
      <c r="A2883" s="33"/>
      <c r="B2883" s="33"/>
      <c r="G2883" s="33"/>
    </row>
    <row r="2884" spans="1:7" ht="15.75">
      <c r="A2884" s="33"/>
      <c r="B2884" s="33"/>
      <c r="G2884" s="33"/>
    </row>
    <row r="2885" spans="1:7" ht="15.75">
      <c r="A2885" s="33"/>
      <c r="B2885" s="33"/>
      <c r="G2885" s="33"/>
    </row>
    <row r="2886" spans="1:7" ht="15.75">
      <c r="A2886" s="33"/>
      <c r="B2886" s="33"/>
      <c r="G2886" s="33"/>
    </row>
    <row r="2887" spans="1:7" ht="15.75">
      <c r="A2887" s="33"/>
      <c r="B2887" s="33"/>
      <c r="G2887" s="33"/>
    </row>
    <row r="2888" spans="1:7" ht="15.75">
      <c r="A2888" s="33"/>
      <c r="B2888" s="33"/>
      <c r="G2888" s="33"/>
    </row>
    <row r="2889" spans="1:7" ht="15.75">
      <c r="A2889" s="33"/>
      <c r="B2889" s="33"/>
      <c r="G2889" s="33"/>
    </row>
    <row r="2890" spans="1:7" ht="15.75">
      <c r="A2890" s="33"/>
      <c r="B2890" s="33"/>
      <c r="G2890" s="33"/>
    </row>
    <row r="2891" spans="1:7" ht="15.75">
      <c r="A2891" s="33"/>
      <c r="B2891" s="33"/>
      <c r="G2891" s="33"/>
    </row>
    <row r="2892" spans="1:7" ht="15.75">
      <c r="A2892" s="33"/>
      <c r="B2892" s="33"/>
      <c r="G2892" s="33"/>
    </row>
    <row r="2893" spans="1:7" ht="15.75">
      <c r="A2893" s="33"/>
      <c r="B2893" s="33"/>
      <c r="G2893" s="33"/>
    </row>
    <row r="2894" spans="1:7" ht="15.75">
      <c r="A2894" s="33"/>
      <c r="B2894" s="33"/>
      <c r="G2894" s="33"/>
    </row>
    <row r="2895" spans="1:7" ht="15.75">
      <c r="A2895" s="33"/>
      <c r="B2895" s="33"/>
      <c r="G2895" s="33"/>
    </row>
    <row r="2896" spans="1:7" ht="15.75">
      <c r="A2896" s="33"/>
      <c r="B2896" s="33"/>
      <c r="G2896" s="33"/>
    </row>
    <row r="2897" spans="1:7" ht="15.75">
      <c r="A2897" s="33"/>
      <c r="B2897" s="33"/>
      <c r="G2897" s="33"/>
    </row>
    <row r="2898" spans="1:7" ht="15.75">
      <c r="A2898" s="33"/>
      <c r="B2898" s="33"/>
      <c r="G2898" s="33"/>
    </row>
    <row r="2899" spans="1:7" ht="15.75">
      <c r="A2899" s="33"/>
      <c r="B2899" s="33"/>
      <c r="G2899" s="33"/>
    </row>
    <row r="2900" spans="1:7" ht="15.75">
      <c r="A2900" s="33"/>
      <c r="B2900" s="33"/>
      <c r="G2900" s="33"/>
    </row>
    <row r="2901" spans="1:7" ht="15.75">
      <c r="A2901" s="33"/>
      <c r="B2901" s="33"/>
      <c r="G2901" s="33"/>
    </row>
    <row r="2902" spans="1:7" ht="15.75">
      <c r="A2902" s="33"/>
      <c r="B2902" s="33"/>
      <c r="G2902" s="33"/>
    </row>
    <row r="2903" spans="1:7" ht="15.75">
      <c r="A2903" s="33"/>
      <c r="B2903" s="33"/>
      <c r="G2903" s="33"/>
    </row>
    <row r="2904" spans="1:7" ht="15.75">
      <c r="A2904" s="33"/>
      <c r="B2904" s="33"/>
      <c r="G2904" s="33"/>
    </row>
    <row r="2905" spans="1:7" ht="15.75">
      <c r="A2905" s="33"/>
      <c r="B2905" s="33"/>
      <c r="G2905" s="33"/>
    </row>
    <row r="2906" spans="1:7" ht="15.75">
      <c r="A2906" s="33"/>
      <c r="B2906" s="33"/>
      <c r="G2906" s="33"/>
    </row>
    <row r="2907" spans="1:7" ht="15.75">
      <c r="A2907" s="33"/>
      <c r="B2907" s="33"/>
      <c r="G2907" s="33"/>
    </row>
    <row r="2908" spans="1:7" ht="15.75">
      <c r="A2908" s="33"/>
      <c r="B2908" s="33"/>
      <c r="G2908" s="33"/>
    </row>
    <row r="2909" spans="1:7" ht="15.75">
      <c r="A2909" s="33"/>
      <c r="B2909" s="33"/>
      <c r="G2909" s="33"/>
    </row>
    <row r="2910" spans="1:7" ht="15.75">
      <c r="A2910" s="33"/>
      <c r="B2910" s="33"/>
      <c r="G2910" s="33"/>
    </row>
    <row r="2911" spans="1:7" ht="15.75">
      <c r="A2911" s="33"/>
      <c r="B2911" s="33"/>
      <c r="G2911" s="33"/>
    </row>
    <row r="2912" spans="1:7" ht="15.75">
      <c r="A2912" s="33"/>
      <c r="B2912" s="33"/>
      <c r="G2912" s="33"/>
    </row>
    <row r="2913" spans="1:7" ht="15.75">
      <c r="A2913" s="33"/>
      <c r="B2913" s="33"/>
      <c r="G2913" s="33"/>
    </row>
    <row r="2914" spans="1:7" ht="15.75">
      <c r="A2914" s="33"/>
      <c r="B2914" s="33"/>
      <c r="G2914" s="33"/>
    </row>
    <row r="2915" spans="1:7" ht="15.75">
      <c r="A2915" s="33"/>
      <c r="B2915" s="33"/>
      <c r="G2915" s="33"/>
    </row>
    <row r="2916" spans="1:7" ht="15.75">
      <c r="A2916" s="33"/>
      <c r="B2916" s="33"/>
      <c r="G2916" s="33"/>
    </row>
    <row r="2917" spans="1:7" ht="15.75">
      <c r="A2917" s="33"/>
      <c r="B2917" s="33"/>
      <c r="G2917" s="33"/>
    </row>
    <row r="2918" spans="1:7" ht="15.75">
      <c r="A2918" s="33"/>
      <c r="B2918" s="33"/>
      <c r="G2918" s="33"/>
    </row>
    <row r="2919" spans="1:7" ht="15.75">
      <c r="A2919" s="33"/>
      <c r="B2919" s="33"/>
      <c r="G2919" s="33"/>
    </row>
    <row r="2920" spans="1:7" ht="15.75">
      <c r="A2920" s="33"/>
      <c r="B2920" s="33"/>
      <c r="G2920" s="33"/>
    </row>
    <row r="2921" spans="1:7" ht="15.75">
      <c r="A2921" s="33"/>
      <c r="B2921" s="33"/>
      <c r="G2921" s="33"/>
    </row>
    <row r="2922" spans="1:7" ht="15.75">
      <c r="A2922" s="33"/>
      <c r="B2922" s="33"/>
      <c r="G2922" s="33"/>
    </row>
    <row r="2923" spans="1:7" ht="15.75">
      <c r="A2923" s="33"/>
      <c r="B2923" s="33"/>
      <c r="G2923" s="33"/>
    </row>
    <row r="2924" spans="1:7" ht="15.75">
      <c r="A2924" s="33"/>
      <c r="B2924" s="33"/>
      <c r="G2924" s="33"/>
    </row>
    <row r="2925" spans="1:7" ht="15.75">
      <c r="A2925" s="33"/>
      <c r="B2925" s="33"/>
      <c r="G2925" s="33"/>
    </row>
    <row r="2926" spans="1:7" ht="15.75">
      <c r="A2926" s="33"/>
      <c r="B2926" s="33"/>
      <c r="G2926" s="33"/>
    </row>
    <row r="2927" spans="1:7" ht="15.75">
      <c r="A2927" s="33"/>
      <c r="B2927" s="33"/>
      <c r="G2927" s="33"/>
    </row>
    <row r="2928" spans="1:7" ht="15.75">
      <c r="A2928" s="33"/>
      <c r="B2928" s="33"/>
      <c r="G2928" s="33"/>
    </row>
    <row r="2929" spans="1:7" ht="15.75">
      <c r="A2929" s="33"/>
      <c r="B2929" s="33"/>
      <c r="G2929" s="33"/>
    </row>
    <row r="2930" spans="1:7" ht="15.75">
      <c r="A2930" s="33"/>
      <c r="B2930" s="33"/>
      <c r="G2930" s="33"/>
    </row>
    <row r="2931" spans="1:7" ht="15.75">
      <c r="A2931" s="33"/>
      <c r="B2931" s="33"/>
      <c r="G2931" s="33"/>
    </row>
    <row r="2932" spans="1:7" ht="15.75">
      <c r="A2932" s="33"/>
      <c r="B2932" s="33"/>
      <c r="G2932" s="33"/>
    </row>
    <row r="2933" spans="1:7" ht="15.75">
      <c r="A2933" s="33"/>
      <c r="B2933" s="33"/>
      <c r="G2933" s="33"/>
    </row>
    <row r="2934" spans="1:7" ht="15.75">
      <c r="A2934" s="33"/>
      <c r="B2934" s="33"/>
      <c r="G2934" s="33"/>
    </row>
    <row r="2935" spans="1:7" ht="15.75">
      <c r="A2935" s="33"/>
      <c r="B2935" s="33"/>
      <c r="G2935" s="33"/>
    </row>
    <row r="2936" spans="1:7" ht="15.75">
      <c r="A2936" s="33"/>
      <c r="B2936" s="33"/>
      <c r="G2936" s="33"/>
    </row>
    <row r="2937" spans="1:7" ht="15.75">
      <c r="A2937" s="33"/>
      <c r="B2937" s="33"/>
      <c r="G2937" s="33"/>
    </row>
    <row r="2938" spans="1:7" ht="15.75">
      <c r="A2938" s="33"/>
      <c r="B2938" s="33"/>
      <c r="G2938" s="33"/>
    </row>
    <row r="2939" spans="1:7" ht="15.75">
      <c r="A2939" s="33"/>
      <c r="B2939" s="33"/>
      <c r="G2939" s="33"/>
    </row>
    <row r="2940" spans="1:7" ht="15.75">
      <c r="A2940" s="33"/>
      <c r="B2940" s="33"/>
      <c r="G2940" s="33"/>
    </row>
    <row r="2941" spans="1:7" ht="15.75">
      <c r="A2941" s="33"/>
      <c r="B2941" s="33"/>
      <c r="G2941" s="33"/>
    </row>
    <row r="2942" spans="1:7" ht="15.75">
      <c r="A2942" s="33"/>
      <c r="B2942" s="33"/>
      <c r="G2942" s="33"/>
    </row>
    <row r="2943" spans="1:7" ht="15.75">
      <c r="A2943" s="33"/>
      <c r="B2943" s="33"/>
      <c r="G2943" s="33"/>
    </row>
    <row r="2944" spans="1:7" ht="15.75">
      <c r="A2944" s="33"/>
      <c r="B2944" s="33"/>
      <c r="G2944" s="33"/>
    </row>
    <row r="2945" spans="1:7" ht="15.75">
      <c r="A2945" s="33"/>
      <c r="B2945" s="33"/>
      <c r="G2945" s="33"/>
    </row>
    <row r="2946" spans="1:7" ht="15.75">
      <c r="A2946" s="33"/>
      <c r="B2946" s="33"/>
      <c r="G2946" s="33"/>
    </row>
    <row r="2947" spans="1:7" ht="15.75">
      <c r="A2947" s="33"/>
      <c r="B2947" s="33"/>
      <c r="G2947" s="33"/>
    </row>
    <row r="2948" spans="1:7" ht="15.75">
      <c r="A2948" s="33"/>
      <c r="B2948" s="33"/>
      <c r="G2948" s="33"/>
    </row>
    <row r="2949" spans="1:7" ht="15.75">
      <c r="A2949" s="33"/>
      <c r="B2949" s="33"/>
      <c r="G2949" s="33"/>
    </row>
    <row r="2950" spans="1:7" ht="15.75">
      <c r="A2950" s="33"/>
      <c r="B2950" s="33"/>
      <c r="G2950" s="33"/>
    </row>
    <row r="2951" spans="1:7" ht="15.75">
      <c r="A2951" s="33"/>
      <c r="B2951" s="33"/>
      <c r="G2951" s="33"/>
    </row>
    <row r="2952" spans="1:7" ht="15.75">
      <c r="A2952" s="33"/>
      <c r="B2952" s="33"/>
      <c r="G2952" s="33"/>
    </row>
    <row r="2953" spans="1:7" ht="15.75">
      <c r="A2953" s="33"/>
      <c r="B2953" s="33"/>
      <c r="G2953" s="33"/>
    </row>
    <row r="2954" spans="1:7" ht="15.75">
      <c r="A2954" s="33"/>
      <c r="B2954" s="33"/>
      <c r="G2954" s="33"/>
    </row>
    <row r="2955" spans="1:7" ht="15.75">
      <c r="A2955" s="33"/>
      <c r="B2955" s="33"/>
      <c r="G2955" s="33"/>
    </row>
    <row r="2956" spans="1:7" ht="15.75">
      <c r="A2956" s="33"/>
      <c r="B2956" s="33"/>
      <c r="G2956" s="33"/>
    </row>
    <row r="2957" spans="1:7" ht="15.75">
      <c r="A2957" s="33"/>
      <c r="B2957" s="33"/>
      <c r="G2957" s="33"/>
    </row>
    <row r="2958" spans="1:7" ht="15.75">
      <c r="A2958" s="33"/>
      <c r="B2958" s="33"/>
      <c r="G2958" s="33"/>
    </row>
    <row r="2959" spans="1:7" ht="15.75">
      <c r="A2959" s="33"/>
      <c r="B2959" s="33"/>
      <c r="G2959" s="33"/>
    </row>
    <row r="2960" spans="1:7" ht="15.75">
      <c r="A2960" s="33"/>
      <c r="B2960" s="33"/>
      <c r="G2960" s="33"/>
    </row>
    <row r="2961" spans="1:7" ht="15.75">
      <c r="A2961" s="33"/>
      <c r="B2961" s="33"/>
      <c r="G2961" s="33"/>
    </row>
    <row r="2962" spans="1:7" ht="15.75">
      <c r="A2962" s="33"/>
      <c r="B2962" s="33"/>
      <c r="G2962" s="33"/>
    </row>
    <row r="2963" spans="1:7" ht="15.75">
      <c r="A2963" s="33"/>
      <c r="B2963" s="33"/>
      <c r="G2963" s="33"/>
    </row>
    <row r="2964" spans="1:7" ht="15.75">
      <c r="A2964" s="33"/>
      <c r="B2964" s="33"/>
      <c r="G2964" s="33"/>
    </row>
    <row r="2965" spans="1:7" ht="15.75">
      <c r="A2965" s="33"/>
      <c r="B2965" s="33"/>
      <c r="G2965" s="33"/>
    </row>
    <row r="2966" spans="1:7" ht="15.75">
      <c r="A2966" s="33"/>
      <c r="B2966" s="33"/>
      <c r="G2966" s="33"/>
    </row>
    <row r="2967" spans="1:7" ht="15.75">
      <c r="A2967" s="33"/>
      <c r="B2967" s="33"/>
      <c r="G2967" s="33"/>
    </row>
    <row r="2968" spans="1:7" ht="15.75">
      <c r="A2968" s="33"/>
      <c r="B2968" s="33"/>
      <c r="G2968" s="33"/>
    </row>
    <row r="2969" spans="1:7" ht="15.75">
      <c r="A2969" s="33"/>
      <c r="B2969" s="33"/>
      <c r="G2969" s="33"/>
    </row>
    <row r="2970" spans="1:7" ht="15.75">
      <c r="A2970" s="33"/>
      <c r="B2970" s="33"/>
      <c r="G2970" s="33"/>
    </row>
    <row r="2971" spans="1:7" ht="15.75">
      <c r="A2971" s="33"/>
      <c r="B2971" s="33"/>
      <c r="G2971" s="33"/>
    </row>
    <row r="2972" spans="1:7" ht="15.75">
      <c r="A2972" s="33"/>
      <c r="B2972" s="33"/>
      <c r="G2972" s="33"/>
    </row>
    <row r="2973" spans="1:7" ht="15.75">
      <c r="A2973" s="33"/>
      <c r="B2973" s="33"/>
      <c r="G2973" s="33"/>
    </row>
    <row r="2974" spans="1:7" ht="15.75">
      <c r="A2974" s="33"/>
      <c r="B2974" s="33"/>
      <c r="G2974" s="33"/>
    </row>
    <row r="2975" spans="1:7" ht="15.75">
      <c r="A2975" s="33"/>
      <c r="B2975" s="33"/>
      <c r="G2975" s="33"/>
    </row>
    <row r="2976" spans="1:7" ht="15.75">
      <c r="A2976" s="33"/>
      <c r="B2976" s="33"/>
      <c r="G2976" s="33"/>
    </row>
    <row r="2977" spans="1:7" ht="15.75">
      <c r="A2977" s="33"/>
      <c r="B2977" s="33"/>
      <c r="G2977" s="33"/>
    </row>
    <row r="2978" spans="1:7" ht="15.75">
      <c r="A2978" s="33"/>
      <c r="B2978" s="33"/>
      <c r="G2978" s="33"/>
    </row>
    <row r="2979" spans="1:7" ht="15.75">
      <c r="A2979" s="33"/>
      <c r="B2979" s="33"/>
      <c r="G2979" s="33"/>
    </row>
    <row r="2980" spans="1:7" ht="15.75">
      <c r="A2980" s="33"/>
      <c r="B2980" s="33"/>
      <c r="G2980" s="33"/>
    </row>
    <row r="2981" spans="1:7" ht="15.75">
      <c r="A2981" s="33"/>
      <c r="B2981" s="33"/>
      <c r="G2981" s="33"/>
    </row>
    <row r="2982" spans="1:7" ht="15.75">
      <c r="A2982" s="33"/>
      <c r="B2982" s="33"/>
      <c r="G2982" s="33"/>
    </row>
    <row r="2983" spans="1:7" ht="15.75">
      <c r="A2983" s="33"/>
      <c r="B2983" s="33"/>
      <c r="G2983" s="33"/>
    </row>
    <row r="2984" spans="1:7" ht="15.75">
      <c r="A2984" s="33"/>
      <c r="B2984" s="33"/>
      <c r="G2984" s="33"/>
    </row>
    <row r="2985" spans="1:7" ht="15.75">
      <c r="A2985" s="33"/>
      <c r="B2985" s="33"/>
      <c r="G2985" s="33"/>
    </row>
    <row r="2986" spans="1:7" ht="15.75">
      <c r="A2986" s="33"/>
      <c r="B2986" s="33"/>
      <c r="G2986" s="33"/>
    </row>
    <row r="2987" spans="1:7" ht="15.75">
      <c r="A2987" s="33"/>
      <c r="B2987" s="33"/>
      <c r="G2987" s="33"/>
    </row>
    <row r="2988" spans="1:7" ht="15.75">
      <c r="A2988" s="33"/>
      <c r="B2988" s="33"/>
      <c r="G2988" s="33"/>
    </row>
    <row r="2989" spans="1:7" ht="15.75">
      <c r="A2989" s="33"/>
      <c r="B2989" s="33"/>
      <c r="G2989" s="33"/>
    </row>
    <row r="2990" spans="1:7" ht="15.75">
      <c r="A2990" s="33"/>
      <c r="B2990" s="33"/>
      <c r="G2990" s="33"/>
    </row>
    <row r="2991" spans="1:7" ht="15.75">
      <c r="A2991" s="33"/>
      <c r="B2991" s="33"/>
      <c r="G2991" s="33"/>
    </row>
    <row r="2992" spans="1:7" ht="15.75">
      <c r="A2992" s="33"/>
      <c r="B2992" s="33"/>
      <c r="G2992" s="33"/>
    </row>
    <row r="2993" spans="1:7" ht="15.75">
      <c r="A2993" s="33"/>
      <c r="B2993" s="33"/>
      <c r="G2993" s="33"/>
    </row>
    <row r="2994" spans="1:7" ht="15.75">
      <c r="A2994" s="33"/>
      <c r="B2994" s="33"/>
      <c r="G2994" s="33"/>
    </row>
    <row r="2995" spans="1:7" ht="15.75">
      <c r="A2995" s="33"/>
      <c r="B2995" s="33"/>
      <c r="G2995" s="33"/>
    </row>
    <row r="2996" spans="1:7" ht="15.75">
      <c r="A2996" s="33"/>
      <c r="B2996" s="33"/>
      <c r="G2996" s="33"/>
    </row>
    <row r="2997" spans="1:7" ht="15.75">
      <c r="A2997" s="33"/>
      <c r="B2997" s="33"/>
      <c r="G2997" s="33"/>
    </row>
    <row r="2998" spans="1:7" ht="15.75">
      <c r="A2998" s="33"/>
      <c r="B2998" s="33"/>
      <c r="G2998" s="33"/>
    </row>
    <row r="2999" spans="1:7" ht="15.75">
      <c r="A2999" s="33"/>
      <c r="B2999" s="33"/>
      <c r="G2999" s="33"/>
    </row>
    <row r="3000" spans="1:7" ht="15.75">
      <c r="A3000" s="33"/>
      <c r="B3000" s="33"/>
      <c r="G3000" s="33"/>
    </row>
    <row r="3001" spans="1:7" ht="15.75">
      <c r="A3001" s="33"/>
      <c r="B3001" s="33"/>
      <c r="G3001" s="33"/>
    </row>
    <row r="3002" spans="1:7" ht="15.75">
      <c r="A3002" s="33"/>
      <c r="B3002" s="33"/>
      <c r="G3002" s="33"/>
    </row>
    <row r="3003" spans="1:7" ht="15.75">
      <c r="A3003" s="33"/>
      <c r="B3003" s="33"/>
      <c r="G3003" s="33"/>
    </row>
    <row r="3004" spans="1:7" ht="15.75">
      <c r="A3004" s="33"/>
      <c r="B3004" s="33"/>
      <c r="G3004" s="33"/>
    </row>
    <row r="3005" spans="1:7" ht="15.75">
      <c r="A3005" s="33"/>
      <c r="B3005" s="33"/>
      <c r="G3005" s="33"/>
    </row>
    <row r="3006" spans="1:7" ht="15.75">
      <c r="A3006" s="33"/>
      <c r="B3006" s="33"/>
      <c r="G3006" s="33"/>
    </row>
    <row r="3007" spans="1:7" ht="15.75">
      <c r="A3007" s="33"/>
      <c r="B3007" s="33"/>
      <c r="G3007" s="33"/>
    </row>
    <row r="3008" spans="1:7" ht="15.75">
      <c r="A3008" s="33"/>
      <c r="B3008" s="33"/>
      <c r="G3008" s="33"/>
    </row>
    <row r="3009" spans="1:7" ht="15.75">
      <c r="A3009" s="33"/>
      <c r="B3009" s="33"/>
      <c r="G3009" s="33"/>
    </row>
    <row r="3010" spans="1:7" ht="15.75">
      <c r="A3010" s="33"/>
      <c r="B3010" s="33"/>
      <c r="G3010" s="33"/>
    </row>
    <row r="3011" spans="1:7" ht="15.75">
      <c r="A3011" s="33"/>
      <c r="B3011" s="33"/>
      <c r="G3011" s="33"/>
    </row>
    <row r="3012" spans="1:7" ht="15.75">
      <c r="A3012" s="33"/>
      <c r="B3012" s="33"/>
      <c r="G3012" s="33"/>
    </row>
    <row r="3013" spans="1:7" ht="15.75">
      <c r="A3013" s="33"/>
      <c r="B3013" s="33"/>
      <c r="G3013" s="33"/>
    </row>
    <row r="3014" spans="1:7" ht="15.75">
      <c r="A3014" s="33"/>
      <c r="B3014" s="33"/>
      <c r="G3014" s="33"/>
    </row>
    <row r="3015" spans="1:7" ht="15.75">
      <c r="A3015" s="33"/>
      <c r="B3015" s="33"/>
      <c r="G3015" s="33"/>
    </row>
    <row r="3016" spans="1:7" ht="15.75">
      <c r="A3016" s="33"/>
      <c r="B3016" s="33"/>
      <c r="G3016" s="33"/>
    </row>
    <row r="3017" spans="1:7" ht="15.75">
      <c r="A3017" s="33"/>
      <c r="B3017" s="33"/>
      <c r="G3017" s="33"/>
    </row>
    <row r="3018" spans="1:7" ht="15.75">
      <c r="A3018" s="33"/>
      <c r="B3018" s="33"/>
      <c r="G3018" s="33"/>
    </row>
    <row r="3019" spans="1:7" ht="15.75">
      <c r="A3019" s="33"/>
      <c r="B3019" s="33"/>
      <c r="G3019" s="33"/>
    </row>
    <row r="3020" spans="1:7" ht="15.75">
      <c r="A3020" s="33"/>
      <c r="B3020" s="33"/>
      <c r="G3020" s="33"/>
    </row>
    <row r="3021" spans="1:7" ht="15.75">
      <c r="A3021" s="33"/>
      <c r="B3021" s="33"/>
      <c r="G3021" s="33"/>
    </row>
    <row r="3022" spans="1:7" ht="15.75">
      <c r="A3022" s="33"/>
      <c r="B3022" s="33"/>
      <c r="G3022" s="33"/>
    </row>
    <row r="3023" spans="1:7" ht="15.75">
      <c r="A3023" s="33"/>
      <c r="B3023" s="33"/>
      <c r="G3023" s="33"/>
    </row>
    <row r="3024" spans="1:7" ht="15.75">
      <c r="A3024" s="33"/>
      <c r="B3024" s="33"/>
      <c r="G3024" s="33"/>
    </row>
    <row r="3025" spans="1:7" ht="15.75">
      <c r="A3025" s="33"/>
      <c r="B3025" s="33"/>
      <c r="G3025" s="33"/>
    </row>
    <row r="3026" spans="1:7" ht="15.75">
      <c r="A3026" s="33"/>
      <c r="B3026" s="33"/>
      <c r="G3026" s="33"/>
    </row>
    <row r="3027" spans="1:7" ht="15.75">
      <c r="A3027" s="33"/>
      <c r="B3027" s="33"/>
      <c r="G3027" s="33"/>
    </row>
    <row r="3028" spans="1:7" ht="15.75">
      <c r="A3028" s="33"/>
      <c r="B3028" s="33"/>
      <c r="G3028" s="33"/>
    </row>
    <row r="3029" spans="1:7" ht="15.75">
      <c r="A3029" s="33"/>
      <c r="B3029" s="33"/>
      <c r="G3029" s="33"/>
    </row>
    <row r="3030" spans="1:7" ht="15.75">
      <c r="A3030" s="33"/>
      <c r="B3030" s="33"/>
      <c r="G3030" s="33"/>
    </row>
    <row r="3031" spans="1:7" ht="15.75">
      <c r="A3031" s="33"/>
      <c r="B3031" s="33"/>
      <c r="G3031" s="33"/>
    </row>
    <row r="3032" spans="1:7" ht="15.75">
      <c r="A3032" s="33"/>
      <c r="B3032" s="33"/>
      <c r="G3032" s="33"/>
    </row>
    <row r="3033" spans="1:7" ht="15.75">
      <c r="A3033" s="33"/>
      <c r="B3033" s="33"/>
      <c r="G3033" s="33"/>
    </row>
    <row r="3034" spans="1:7" ht="15.75">
      <c r="A3034" s="33"/>
      <c r="B3034" s="33"/>
      <c r="G3034" s="33"/>
    </row>
    <row r="3035" spans="1:7" ht="15.75">
      <c r="A3035" s="33"/>
      <c r="B3035" s="33"/>
      <c r="G3035" s="33"/>
    </row>
    <row r="3036" spans="1:7" ht="15.75">
      <c r="A3036" s="33"/>
      <c r="B3036" s="33"/>
      <c r="G3036" s="33"/>
    </row>
    <row r="3037" spans="1:7" ht="15.75">
      <c r="A3037" s="33"/>
      <c r="B3037" s="33"/>
      <c r="G3037" s="33"/>
    </row>
    <row r="3038" spans="1:7" ht="15.75">
      <c r="A3038" s="33"/>
      <c r="B3038" s="33"/>
      <c r="G3038" s="33"/>
    </row>
    <row r="3039" spans="1:7" ht="15.75">
      <c r="A3039" s="33"/>
      <c r="B3039" s="33"/>
      <c r="G3039" s="33"/>
    </row>
    <row r="3040" spans="1:7" ht="15.75">
      <c r="A3040" s="33"/>
      <c r="B3040" s="33"/>
      <c r="G3040" s="33"/>
    </row>
    <row r="3041" spans="1:7" ht="15.75">
      <c r="A3041" s="33"/>
      <c r="B3041" s="33"/>
      <c r="G3041" s="33"/>
    </row>
    <row r="3042" spans="1:7" ht="15.75">
      <c r="A3042" s="33"/>
      <c r="B3042" s="33"/>
      <c r="G3042" s="33"/>
    </row>
    <row r="3043" spans="1:7" ht="15.75">
      <c r="A3043" s="33"/>
      <c r="B3043" s="33"/>
      <c r="G3043" s="33"/>
    </row>
    <row r="3044" spans="1:7" ht="15.75">
      <c r="A3044" s="33"/>
      <c r="B3044" s="33"/>
      <c r="G3044" s="33"/>
    </row>
    <row r="3045" spans="1:7" ht="15.75">
      <c r="A3045" s="33"/>
      <c r="B3045" s="33"/>
      <c r="G3045" s="33"/>
    </row>
    <row r="3046" spans="1:7" ht="15.75">
      <c r="A3046" s="33"/>
      <c r="B3046" s="33"/>
      <c r="G3046" s="33"/>
    </row>
    <row r="3047" spans="1:7" ht="15.75">
      <c r="A3047" s="33"/>
      <c r="B3047" s="33"/>
      <c r="G3047" s="33"/>
    </row>
    <row r="3048" spans="1:7" ht="15.75">
      <c r="A3048" s="33"/>
      <c r="B3048" s="33"/>
      <c r="G3048" s="33"/>
    </row>
    <row r="3049" spans="1:7" ht="15.75">
      <c r="A3049" s="33"/>
      <c r="B3049" s="33"/>
      <c r="G3049" s="33"/>
    </row>
    <row r="3050" spans="1:7" ht="15.75">
      <c r="A3050" s="33"/>
      <c r="B3050" s="33"/>
      <c r="G3050" s="33"/>
    </row>
    <row r="3051" spans="1:7" ht="15.75">
      <c r="A3051" s="33"/>
      <c r="B3051" s="33"/>
      <c r="G3051" s="33"/>
    </row>
    <row r="3052" spans="1:7" ht="15.75">
      <c r="A3052" s="33"/>
      <c r="B3052" s="33"/>
      <c r="G3052" s="33"/>
    </row>
    <row r="3053" spans="1:7" ht="15.75">
      <c r="A3053" s="33"/>
      <c r="B3053" s="33"/>
      <c r="G3053" s="33"/>
    </row>
    <row r="3054" spans="1:7" ht="15.75">
      <c r="A3054" s="33"/>
      <c r="B3054" s="33"/>
      <c r="G3054" s="33"/>
    </row>
    <row r="3055" spans="1:7" ht="15.75">
      <c r="A3055" s="33"/>
      <c r="B3055" s="33"/>
      <c r="G3055" s="33"/>
    </row>
    <row r="3056" spans="1:7" ht="15.75">
      <c r="A3056" s="33"/>
      <c r="B3056" s="33"/>
      <c r="G3056" s="33"/>
    </row>
    <row r="3057" spans="1:7" ht="15.75">
      <c r="A3057" s="33"/>
      <c r="B3057" s="33"/>
      <c r="G3057" s="33"/>
    </row>
    <row r="3058" spans="1:7" ht="15.75">
      <c r="A3058" s="33"/>
      <c r="B3058" s="33"/>
      <c r="G3058" s="33"/>
    </row>
    <row r="3059" spans="1:7" ht="15.75">
      <c r="A3059" s="33"/>
      <c r="B3059" s="33"/>
      <c r="G3059" s="33"/>
    </row>
    <row r="3060" spans="1:7" ht="15.75">
      <c r="A3060" s="33"/>
      <c r="B3060" s="33"/>
      <c r="G3060" s="33"/>
    </row>
    <row r="3061" spans="1:7" ht="15.75">
      <c r="A3061" s="33"/>
      <c r="B3061" s="33"/>
      <c r="G3061" s="33"/>
    </row>
    <row r="3062" spans="1:7" ht="15.75">
      <c r="A3062" s="33"/>
      <c r="B3062" s="33"/>
      <c r="G3062" s="33"/>
    </row>
    <row r="3063" spans="1:7" ht="15.75">
      <c r="A3063" s="33"/>
      <c r="B3063" s="33"/>
      <c r="G3063" s="33"/>
    </row>
    <row r="3064" spans="1:7" ht="15.75">
      <c r="A3064" s="33"/>
      <c r="B3064" s="33"/>
      <c r="G3064" s="33"/>
    </row>
    <row r="3065" spans="1:7" ht="15.75">
      <c r="A3065" s="33"/>
      <c r="B3065" s="33"/>
      <c r="G3065" s="33"/>
    </row>
    <row r="3066" spans="1:7" ht="15.75">
      <c r="A3066" s="33"/>
      <c r="B3066" s="33"/>
      <c r="G3066" s="33"/>
    </row>
    <row r="3067" spans="1:7" ht="15.75">
      <c r="A3067" s="33"/>
      <c r="B3067" s="33"/>
      <c r="G3067" s="33"/>
    </row>
    <row r="3068" spans="1:7" ht="15.75">
      <c r="A3068" s="33"/>
      <c r="B3068" s="33"/>
      <c r="G3068" s="33"/>
    </row>
    <row r="3069" spans="1:7" ht="15.75">
      <c r="A3069" s="33"/>
      <c r="B3069" s="33"/>
      <c r="G3069" s="33"/>
    </row>
    <row r="3070" spans="1:7" ht="15.75">
      <c r="A3070" s="33"/>
      <c r="B3070" s="33"/>
      <c r="G3070" s="33"/>
    </row>
    <row r="3071" spans="1:7" ht="15.75">
      <c r="A3071" s="33"/>
      <c r="B3071" s="33"/>
      <c r="G3071" s="33"/>
    </row>
    <row r="3072" spans="1:7" ht="15.75">
      <c r="A3072" s="33"/>
      <c r="B3072" s="33"/>
      <c r="G3072" s="33"/>
    </row>
    <row r="3073" spans="1:7" ht="15.75">
      <c r="A3073" s="33"/>
      <c r="B3073" s="33"/>
      <c r="G3073" s="33"/>
    </row>
    <row r="3074" spans="1:7" ht="15.75">
      <c r="A3074" s="33"/>
      <c r="B3074" s="33"/>
      <c r="G3074" s="33"/>
    </row>
    <row r="3075" spans="1:7" ht="15.75">
      <c r="A3075" s="33"/>
      <c r="B3075" s="33"/>
      <c r="G3075" s="33"/>
    </row>
    <row r="3076" spans="1:7" ht="15.75">
      <c r="A3076" s="33"/>
      <c r="B3076" s="33"/>
      <c r="G3076" s="33"/>
    </row>
    <row r="3077" spans="1:7" ht="15.75">
      <c r="A3077" s="33"/>
      <c r="B3077" s="33"/>
      <c r="G3077" s="33"/>
    </row>
    <row r="3078" spans="1:7" ht="15.75">
      <c r="A3078" s="33"/>
      <c r="B3078" s="33"/>
      <c r="G3078" s="33"/>
    </row>
    <row r="3079" spans="1:7" ht="15.75">
      <c r="A3079" s="33"/>
      <c r="B3079" s="33"/>
      <c r="G3079" s="33"/>
    </row>
    <row r="3080" spans="1:7" ht="15.75">
      <c r="A3080" s="33"/>
      <c r="B3080" s="33"/>
      <c r="G3080" s="33"/>
    </row>
    <row r="3081" spans="1:7" ht="15.75">
      <c r="A3081" s="33"/>
      <c r="B3081" s="33"/>
      <c r="G3081" s="33"/>
    </row>
    <row r="3082" spans="1:7" ht="15.75">
      <c r="A3082" s="33"/>
      <c r="B3082" s="33"/>
      <c r="G3082" s="33"/>
    </row>
    <row r="3083" spans="1:7" ht="15.75">
      <c r="A3083" s="33"/>
      <c r="B3083" s="33"/>
      <c r="G3083" s="33"/>
    </row>
    <row r="3084" spans="1:7" ht="15.75">
      <c r="A3084" s="33"/>
      <c r="B3084" s="33"/>
      <c r="G3084" s="33"/>
    </row>
    <row r="3085" spans="1:7" ht="15.75">
      <c r="A3085" s="33"/>
      <c r="B3085" s="33"/>
      <c r="G3085" s="33"/>
    </row>
    <row r="3086" spans="1:7" ht="15.75">
      <c r="A3086" s="33"/>
      <c r="B3086" s="33"/>
      <c r="G3086" s="33"/>
    </row>
    <row r="3087" spans="1:7" ht="15.75">
      <c r="A3087" s="33"/>
      <c r="B3087" s="33"/>
      <c r="G3087" s="33"/>
    </row>
    <row r="3088" spans="1:7" ht="15.75">
      <c r="A3088" s="33"/>
      <c r="B3088" s="33"/>
      <c r="G3088" s="33"/>
    </row>
    <row r="3089" spans="1:7" ht="15.75">
      <c r="A3089" s="33"/>
      <c r="B3089" s="33"/>
      <c r="G3089" s="33"/>
    </row>
    <row r="3090" spans="1:7" ht="15.75">
      <c r="A3090" s="33"/>
      <c r="B3090" s="33"/>
      <c r="G3090" s="33"/>
    </row>
    <row r="3091" spans="1:7" ht="15.75">
      <c r="A3091" s="33"/>
      <c r="B3091" s="33"/>
      <c r="G3091" s="33"/>
    </row>
    <row r="3092" spans="1:7" ht="15.75">
      <c r="A3092" s="33"/>
      <c r="B3092" s="33"/>
      <c r="G3092" s="33"/>
    </row>
    <row r="3093" spans="1:7" ht="15.75">
      <c r="A3093" s="33"/>
      <c r="B3093" s="33"/>
      <c r="G3093" s="33"/>
    </row>
    <row r="3094" spans="1:7" ht="15.75">
      <c r="A3094" s="33"/>
      <c r="B3094" s="33"/>
      <c r="G3094" s="33"/>
    </row>
    <row r="3095" spans="1:7" ht="15.75">
      <c r="A3095" s="33"/>
      <c r="B3095" s="33"/>
      <c r="G3095" s="33"/>
    </row>
    <row r="3096" spans="1:7" ht="15.75">
      <c r="A3096" s="33"/>
      <c r="B3096" s="33"/>
      <c r="G3096" s="33"/>
    </row>
    <row r="3097" spans="1:7" ht="15.75">
      <c r="A3097" s="33"/>
      <c r="B3097" s="33"/>
      <c r="G3097" s="33"/>
    </row>
    <row r="3098" spans="1:7" ht="15.75">
      <c r="A3098" s="33"/>
      <c r="B3098" s="33"/>
      <c r="G3098" s="33"/>
    </row>
    <row r="3099" spans="1:7" ht="15.75">
      <c r="A3099" s="33"/>
      <c r="B3099" s="33"/>
      <c r="G3099" s="33"/>
    </row>
    <row r="3100" spans="1:7" ht="15.75">
      <c r="A3100" s="33"/>
      <c r="B3100" s="33"/>
      <c r="G3100" s="33"/>
    </row>
    <row r="3101" spans="1:7" ht="15.75">
      <c r="A3101" s="33"/>
      <c r="B3101" s="33"/>
      <c r="G3101" s="33"/>
    </row>
    <row r="3102" spans="1:7" ht="15.75">
      <c r="A3102" s="33"/>
      <c r="B3102" s="33"/>
      <c r="G3102" s="33"/>
    </row>
    <row r="3103" spans="1:7" ht="15.75">
      <c r="A3103" s="33"/>
      <c r="B3103" s="33"/>
      <c r="G3103" s="33"/>
    </row>
    <row r="3104" spans="1:7" ht="15.75">
      <c r="A3104" s="33"/>
      <c r="B3104" s="33"/>
      <c r="G3104" s="33"/>
    </row>
    <row r="3105" spans="1:7" ht="15.75">
      <c r="A3105" s="33"/>
      <c r="B3105" s="33"/>
      <c r="G3105" s="33"/>
    </row>
    <row r="3106" spans="1:7" ht="15.75">
      <c r="A3106" s="33"/>
      <c r="B3106" s="33"/>
      <c r="G3106" s="33"/>
    </row>
    <row r="3107" spans="1:7" ht="15.75">
      <c r="A3107" s="33"/>
      <c r="B3107" s="33"/>
      <c r="G3107" s="33"/>
    </row>
    <row r="3108" spans="1:7" ht="15.75">
      <c r="A3108" s="33"/>
      <c r="B3108" s="33"/>
      <c r="G3108" s="33"/>
    </row>
    <row r="3109" spans="1:7" ht="15.75">
      <c r="A3109" s="33"/>
      <c r="B3109" s="33"/>
      <c r="G3109" s="33"/>
    </row>
    <row r="3110" spans="1:7" ht="15.75">
      <c r="A3110" s="33"/>
      <c r="B3110" s="33"/>
      <c r="G3110" s="33"/>
    </row>
    <row r="3111" spans="1:7" ht="15.75">
      <c r="A3111" s="33"/>
      <c r="B3111" s="33"/>
      <c r="G3111" s="33"/>
    </row>
    <row r="3112" spans="1:7" ht="15.75">
      <c r="A3112" s="33"/>
      <c r="B3112" s="33"/>
      <c r="G3112" s="33"/>
    </row>
    <row r="3113" spans="1:7" ht="15.75">
      <c r="A3113" s="33"/>
      <c r="B3113" s="33"/>
      <c r="G3113" s="33"/>
    </row>
    <row r="3114" spans="1:7" ht="15.75">
      <c r="A3114" s="33"/>
      <c r="B3114" s="33"/>
      <c r="G3114" s="33"/>
    </row>
    <row r="3115" spans="1:7" ht="15.75">
      <c r="A3115" s="33"/>
      <c r="B3115" s="33"/>
      <c r="G3115" s="33"/>
    </row>
    <row r="3116" spans="1:7" ht="15.75">
      <c r="A3116" s="33"/>
      <c r="B3116" s="33"/>
      <c r="G3116" s="33"/>
    </row>
    <row r="3117" spans="1:7" ht="15.75">
      <c r="A3117" s="33"/>
      <c r="B3117" s="33"/>
      <c r="G3117" s="33"/>
    </row>
    <row r="3118" spans="1:7" ht="15.75">
      <c r="A3118" s="33"/>
      <c r="B3118" s="33"/>
      <c r="G3118" s="33"/>
    </row>
    <row r="3119" spans="1:7" ht="15.75">
      <c r="A3119" s="33"/>
      <c r="B3119" s="33"/>
      <c r="G3119" s="33"/>
    </row>
    <row r="3120" spans="1:7" ht="15.75">
      <c r="A3120" s="33"/>
      <c r="B3120" s="33"/>
      <c r="G3120" s="33"/>
    </row>
    <row r="3121" spans="1:7" ht="15.75">
      <c r="A3121" s="33"/>
      <c r="B3121" s="33"/>
      <c r="G3121" s="33"/>
    </row>
    <row r="3122" spans="1:7" ht="15.75">
      <c r="A3122" s="33"/>
      <c r="B3122" s="33"/>
      <c r="G3122" s="33"/>
    </row>
    <row r="3123" spans="1:7" ht="15.75">
      <c r="A3123" s="33"/>
      <c r="B3123" s="33"/>
      <c r="G3123" s="33"/>
    </row>
    <row r="3124" spans="1:7" ht="15.75">
      <c r="A3124" s="33"/>
      <c r="B3124" s="33"/>
      <c r="G3124" s="33"/>
    </row>
    <row r="3125" spans="1:7" ht="15.75">
      <c r="A3125" s="33"/>
      <c r="B3125" s="33"/>
      <c r="G3125" s="33"/>
    </row>
    <row r="3126" spans="1:7" ht="15.75">
      <c r="A3126" s="33"/>
      <c r="B3126" s="33"/>
      <c r="G3126" s="33"/>
    </row>
    <row r="3127" spans="1:7" ht="15.75">
      <c r="A3127" s="33"/>
      <c r="B3127" s="33"/>
      <c r="G3127" s="33"/>
    </row>
    <row r="3128" spans="1:7" ht="15.75">
      <c r="A3128" s="33"/>
      <c r="B3128" s="33"/>
      <c r="G3128" s="33"/>
    </row>
    <row r="3129" spans="1:7" ht="15.75">
      <c r="A3129" s="33"/>
      <c r="B3129" s="33"/>
      <c r="G3129" s="33"/>
    </row>
    <row r="3130" spans="1:7" ht="15.75">
      <c r="A3130" s="33"/>
      <c r="B3130" s="33"/>
      <c r="G3130" s="33"/>
    </row>
    <row r="3131" spans="1:7" ht="15.75">
      <c r="A3131" s="33"/>
      <c r="B3131" s="33"/>
      <c r="G3131" s="33"/>
    </row>
    <row r="3132" spans="1:7" ht="15.75">
      <c r="A3132" s="33"/>
      <c r="B3132" s="33"/>
      <c r="G3132" s="33"/>
    </row>
    <row r="3133" spans="1:7" ht="15.75">
      <c r="A3133" s="33"/>
      <c r="B3133" s="33"/>
      <c r="G3133" s="33"/>
    </row>
    <row r="3134" spans="1:7" ht="15.75">
      <c r="A3134" s="33"/>
      <c r="B3134" s="33"/>
      <c r="G3134" s="33"/>
    </row>
    <row r="3135" spans="1:7" ht="15.75">
      <c r="A3135" s="33"/>
      <c r="B3135" s="33"/>
      <c r="G3135" s="33"/>
    </row>
    <row r="3136" spans="1:7" ht="15.75">
      <c r="A3136" s="33"/>
      <c r="B3136" s="33"/>
      <c r="G3136" s="33"/>
    </row>
    <row r="3137" spans="1:7" ht="15.75">
      <c r="A3137" s="33"/>
      <c r="B3137" s="33"/>
      <c r="G3137" s="33"/>
    </row>
    <row r="3138" spans="1:7" ht="15.75">
      <c r="A3138" s="33"/>
      <c r="B3138" s="33"/>
      <c r="G3138" s="33"/>
    </row>
    <row r="3139" spans="1:7" ht="15.75">
      <c r="A3139" s="33"/>
      <c r="B3139" s="33"/>
      <c r="G3139" s="33"/>
    </row>
    <row r="3140" spans="1:7" ht="15.75">
      <c r="A3140" s="33"/>
      <c r="B3140" s="33"/>
      <c r="G3140" s="33"/>
    </row>
    <row r="3141" spans="1:7" ht="15.75">
      <c r="A3141" s="33"/>
      <c r="B3141" s="33"/>
      <c r="G3141" s="33"/>
    </row>
    <row r="3142" spans="1:7" ht="15.75">
      <c r="A3142" s="33"/>
      <c r="B3142" s="33"/>
      <c r="G3142" s="33"/>
    </row>
    <row r="3143" spans="1:7" ht="15.75">
      <c r="A3143" s="33"/>
      <c r="B3143" s="33"/>
      <c r="G3143" s="33"/>
    </row>
    <row r="3144" spans="1:7" ht="15.75">
      <c r="A3144" s="33"/>
      <c r="B3144" s="33"/>
      <c r="G3144" s="33"/>
    </row>
    <row r="3145" spans="1:7" ht="15.75">
      <c r="A3145" s="33"/>
      <c r="B3145" s="33"/>
      <c r="G3145" s="33"/>
    </row>
    <row r="3146" spans="1:7" ht="15.75">
      <c r="A3146" s="33"/>
      <c r="B3146" s="33"/>
      <c r="G3146" s="33"/>
    </row>
    <row r="3147" spans="1:7" ht="15.75">
      <c r="A3147" s="33"/>
      <c r="B3147" s="33"/>
      <c r="G3147" s="33"/>
    </row>
    <row r="3148" spans="1:7" ht="15.75">
      <c r="A3148" s="33"/>
      <c r="B3148" s="33"/>
      <c r="G3148" s="33"/>
    </row>
    <row r="3149" spans="1:7" ht="15.75">
      <c r="A3149" s="33"/>
      <c r="B3149" s="33"/>
      <c r="G3149" s="33"/>
    </row>
    <row r="3150" spans="1:7" ht="15.75">
      <c r="A3150" s="33"/>
      <c r="B3150" s="33"/>
      <c r="G3150" s="33"/>
    </row>
    <row r="3151" spans="1:7" ht="15.75">
      <c r="A3151" s="33"/>
      <c r="B3151" s="33"/>
      <c r="G3151" s="33"/>
    </row>
    <row r="3152" spans="1:7" ht="15.75">
      <c r="A3152" s="33"/>
      <c r="B3152" s="33"/>
      <c r="G3152" s="33"/>
    </row>
    <row r="3153" spans="1:7" ht="15.75">
      <c r="A3153" s="33"/>
      <c r="B3153" s="33"/>
      <c r="G3153" s="33"/>
    </row>
    <row r="3154" spans="1:7" ht="15.75">
      <c r="A3154" s="33"/>
      <c r="B3154" s="33"/>
      <c r="G3154" s="33"/>
    </row>
    <row r="3155" spans="1:7" ht="15.75">
      <c r="A3155" s="33"/>
      <c r="B3155" s="33"/>
      <c r="G3155" s="33"/>
    </row>
    <row r="3156" spans="1:7" ht="15.75">
      <c r="A3156" s="33"/>
      <c r="B3156" s="33"/>
      <c r="G3156" s="33"/>
    </row>
    <row r="3157" spans="1:7" ht="15.75">
      <c r="A3157" s="33"/>
      <c r="B3157" s="33"/>
      <c r="G3157" s="33"/>
    </row>
    <row r="3158" spans="1:7" ht="15.75">
      <c r="A3158" s="33"/>
      <c r="B3158" s="33"/>
      <c r="G3158" s="33"/>
    </row>
    <row r="3159" spans="1:7" ht="15.75">
      <c r="A3159" s="33"/>
      <c r="B3159" s="33"/>
      <c r="G3159" s="33"/>
    </row>
    <row r="3160" spans="1:7" ht="15.75">
      <c r="A3160" s="33"/>
      <c r="B3160" s="33"/>
      <c r="G3160" s="33"/>
    </row>
    <row r="3161" spans="1:7" ht="15.75">
      <c r="A3161" s="33"/>
      <c r="B3161" s="33"/>
      <c r="G3161" s="33"/>
    </row>
    <row r="3162" spans="1:7" ht="15.75">
      <c r="A3162" s="33"/>
      <c r="B3162" s="33"/>
      <c r="G3162" s="33"/>
    </row>
    <row r="3163" spans="1:7" ht="15.75">
      <c r="A3163" s="33"/>
      <c r="B3163" s="33"/>
      <c r="G3163" s="33"/>
    </row>
    <row r="3164" spans="1:7" ht="15.75">
      <c r="A3164" s="33"/>
      <c r="B3164" s="33"/>
      <c r="G3164" s="33"/>
    </row>
    <row r="3165" spans="1:7" ht="15.75">
      <c r="A3165" s="33"/>
      <c r="B3165" s="33"/>
      <c r="G3165" s="33"/>
    </row>
    <row r="3166" spans="1:7" ht="15.75">
      <c r="A3166" s="33"/>
      <c r="B3166" s="33"/>
      <c r="G3166" s="33"/>
    </row>
    <row r="3167" spans="1:7" ht="15.75">
      <c r="A3167" s="33"/>
      <c r="B3167" s="33"/>
      <c r="G3167" s="33"/>
    </row>
    <row r="3168" spans="1:7" ht="15.75">
      <c r="A3168" s="33"/>
      <c r="B3168" s="33"/>
      <c r="G3168" s="33"/>
    </row>
    <row r="3169" spans="1:7" ht="15.75">
      <c r="A3169" s="33"/>
      <c r="B3169" s="33"/>
      <c r="G3169" s="33"/>
    </row>
    <row r="3170" spans="1:7" ht="15.75">
      <c r="A3170" s="33"/>
      <c r="B3170" s="33"/>
      <c r="G3170" s="33"/>
    </row>
    <row r="3171" spans="1:7" ht="15.75">
      <c r="A3171" s="33"/>
      <c r="B3171" s="33"/>
      <c r="G3171" s="33"/>
    </row>
    <row r="3172" spans="1:7" ht="15.75">
      <c r="A3172" s="33"/>
      <c r="B3172" s="33"/>
      <c r="G3172" s="33"/>
    </row>
    <row r="3173" spans="1:7" ht="15.75">
      <c r="A3173" s="33"/>
      <c r="B3173" s="33"/>
      <c r="G3173" s="33"/>
    </row>
    <row r="3174" spans="1:7" ht="15.75">
      <c r="A3174" s="33"/>
      <c r="B3174" s="33"/>
      <c r="G3174" s="33"/>
    </row>
    <row r="3175" spans="1:7" ht="15.75">
      <c r="A3175" s="33"/>
      <c r="B3175" s="33"/>
      <c r="G3175" s="33"/>
    </row>
    <row r="3176" spans="1:7" ht="15.75">
      <c r="A3176" s="33"/>
      <c r="B3176" s="33"/>
      <c r="G3176" s="33"/>
    </row>
    <row r="3177" spans="1:7" ht="15.75">
      <c r="A3177" s="33"/>
      <c r="B3177" s="33"/>
      <c r="G3177" s="33"/>
    </row>
    <row r="3178" spans="1:7" ht="15.75">
      <c r="A3178" s="33"/>
      <c r="B3178" s="33"/>
      <c r="G3178" s="33"/>
    </row>
    <row r="3179" spans="1:7" ht="15.75">
      <c r="A3179" s="33"/>
      <c r="B3179" s="33"/>
      <c r="G3179" s="33"/>
    </row>
    <row r="3180" spans="1:7" ht="15.75">
      <c r="A3180" s="33"/>
      <c r="B3180" s="33"/>
      <c r="G3180" s="33"/>
    </row>
    <row r="3181" spans="1:7" ht="15.75">
      <c r="A3181" s="33"/>
      <c r="B3181" s="33"/>
      <c r="G3181" s="33"/>
    </row>
    <row r="3182" spans="1:7" ht="15.75">
      <c r="A3182" s="33"/>
      <c r="B3182" s="33"/>
      <c r="G3182" s="33"/>
    </row>
    <row r="3183" spans="1:7" ht="15.75">
      <c r="A3183" s="33"/>
      <c r="B3183" s="33"/>
      <c r="G3183" s="33"/>
    </row>
    <row r="3184" spans="1:7" ht="15.75">
      <c r="A3184" s="33"/>
      <c r="B3184" s="33"/>
      <c r="G3184" s="33"/>
    </row>
    <row r="3185" spans="1:7" ht="15.75">
      <c r="A3185" s="33"/>
      <c r="B3185" s="33"/>
      <c r="G3185" s="33"/>
    </row>
    <row r="3186" spans="1:7" ht="15.75">
      <c r="A3186" s="33"/>
      <c r="B3186" s="33"/>
      <c r="G3186" s="33"/>
    </row>
    <row r="3187" spans="1:7" ht="15.75">
      <c r="A3187" s="33"/>
      <c r="B3187" s="33"/>
      <c r="G3187" s="33"/>
    </row>
    <row r="3188" spans="1:7" ht="15.75">
      <c r="A3188" s="33"/>
      <c r="B3188" s="33"/>
      <c r="G3188" s="33"/>
    </row>
    <row r="3189" spans="1:7" ht="15.75">
      <c r="A3189" s="33"/>
      <c r="B3189" s="33"/>
      <c r="G3189" s="33"/>
    </row>
    <row r="3190" spans="1:7" ht="15.75">
      <c r="A3190" s="33"/>
      <c r="B3190" s="33"/>
      <c r="G3190" s="33"/>
    </row>
    <row r="3191" spans="1:7" ht="15.75">
      <c r="A3191" s="33"/>
      <c r="B3191" s="33"/>
      <c r="G3191" s="33"/>
    </row>
    <row r="3192" spans="1:7" ht="15.75">
      <c r="A3192" s="33"/>
      <c r="B3192" s="33"/>
      <c r="G3192" s="33"/>
    </row>
    <row r="3193" spans="1:7" ht="15.75">
      <c r="A3193" s="33"/>
      <c r="B3193" s="33"/>
      <c r="G3193" s="33"/>
    </row>
    <row r="3194" spans="1:7" ht="15.75">
      <c r="A3194" s="33"/>
      <c r="B3194" s="33"/>
      <c r="G3194" s="33"/>
    </row>
    <row r="3195" spans="1:7" ht="15.75">
      <c r="A3195" s="33"/>
      <c r="B3195" s="33"/>
      <c r="G3195" s="33"/>
    </row>
    <row r="3196" spans="1:7" ht="15.75">
      <c r="A3196" s="33"/>
      <c r="B3196" s="33"/>
      <c r="G3196" s="33"/>
    </row>
    <row r="3197" spans="1:7" ht="15.75">
      <c r="A3197" s="33"/>
      <c r="B3197" s="33"/>
      <c r="G3197" s="33"/>
    </row>
    <row r="3198" spans="1:7" ht="15.75">
      <c r="A3198" s="33"/>
      <c r="B3198" s="33"/>
      <c r="G3198" s="33"/>
    </row>
    <row r="3199" spans="1:7" ht="15.75">
      <c r="A3199" s="33"/>
      <c r="B3199" s="33"/>
      <c r="G3199" s="33"/>
    </row>
    <row r="3200" spans="1:7" ht="15.75">
      <c r="A3200" s="33"/>
      <c r="B3200" s="33"/>
      <c r="G3200" s="33"/>
    </row>
    <row r="3201" spans="1:7" ht="15.75">
      <c r="A3201" s="33"/>
      <c r="B3201" s="33"/>
      <c r="G3201" s="33"/>
    </row>
    <row r="3202" spans="1:7" ht="15.75">
      <c r="A3202" s="33"/>
      <c r="B3202" s="33"/>
      <c r="G3202" s="33"/>
    </row>
    <row r="3203" spans="1:7" ht="15.75">
      <c r="A3203" s="33"/>
      <c r="B3203" s="33"/>
      <c r="G3203" s="33"/>
    </row>
    <row r="3204" spans="1:7" ht="15.75">
      <c r="A3204" s="33"/>
      <c r="B3204" s="33"/>
      <c r="G3204" s="33"/>
    </row>
    <row r="3205" spans="1:7" ht="15.75">
      <c r="A3205" s="33"/>
      <c r="B3205" s="33"/>
      <c r="G3205" s="33"/>
    </row>
    <row r="3206" spans="1:7" ht="15.75">
      <c r="A3206" s="33"/>
      <c r="B3206" s="33"/>
      <c r="G3206" s="33"/>
    </row>
    <row r="3207" spans="1:7" ht="15.75">
      <c r="A3207" s="33"/>
      <c r="B3207" s="33"/>
      <c r="G3207" s="33"/>
    </row>
    <row r="3208" spans="1:7" ht="15.75">
      <c r="A3208" s="33"/>
      <c r="B3208" s="33"/>
      <c r="G3208" s="33"/>
    </row>
    <row r="3209" spans="1:7" ht="15.75">
      <c r="A3209" s="33"/>
      <c r="B3209" s="33"/>
      <c r="G3209" s="33"/>
    </row>
    <row r="3210" spans="1:7" ht="15.75">
      <c r="A3210" s="33"/>
      <c r="B3210" s="33"/>
      <c r="G3210" s="33"/>
    </row>
    <row r="3211" spans="1:7" ht="15.75">
      <c r="A3211" s="33"/>
      <c r="B3211" s="33"/>
      <c r="G3211" s="33"/>
    </row>
    <row r="3212" spans="1:7" ht="15.75">
      <c r="A3212" s="33"/>
      <c r="B3212" s="33"/>
      <c r="G3212" s="33"/>
    </row>
    <row r="3213" spans="1:7" ht="15.75">
      <c r="A3213" s="33"/>
      <c r="B3213" s="33"/>
      <c r="G3213" s="33"/>
    </row>
    <row r="3214" spans="1:7" ht="15.75">
      <c r="A3214" s="33"/>
      <c r="B3214" s="33"/>
      <c r="G3214" s="33"/>
    </row>
    <row r="3215" spans="1:7" ht="15.75">
      <c r="A3215" s="33"/>
      <c r="B3215" s="33"/>
      <c r="G3215" s="33"/>
    </row>
    <row r="3216" spans="1:7" ht="15.75">
      <c r="A3216" s="33"/>
      <c r="B3216" s="33"/>
      <c r="G3216" s="33"/>
    </row>
    <row r="3217" spans="1:7" ht="15.75">
      <c r="A3217" s="33"/>
      <c r="B3217" s="33"/>
      <c r="G3217" s="33"/>
    </row>
    <row r="3218" spans="1:7" ht="15.75">
      <c r="A3218" s="33"/>
      <c r="B3218" s="33"/>
      <c r="G3218" s="33"/>
    </row>
    <row r="3219" spans="1:7" ht="15.75">
      <c r="A3219" s="33"/>
      <c r="B3219" s="33"/>
      <c r="G3219" s="33"/>
    </row>
    <row r="3220" spans="1:7" ht="15.75">
      <c r="A3220" s="33"/>
      <c r="B3220" s="33"/>
      <c r="G3220" s="33"/>
    </row>
    <row r="3221" spans="1:7" ht="15.75">
      <c r="A3221" s="33"/>
      <c r="B3221" s="33"/>
      <c r="G3221" s="33"/>
    </row>
    <row r="3222" spans="1:7" ht="15.75">
      <c r="A3222" s="33"/>
      <c r="B3222" s="33"/>
      <c r="G3222" s="33"/>
    </row>
    <row r="3223" spans="1:7" ht="15.75">
      <c r="A3223" s="33"/>
      <c r="B3223" s="33"/>
      <c r="G3223" s="33"/>
    </row>
    <row r="3224" spans="1:7" ht="15.75">
      <c r="A3224" s="33"/>
      <c r="B3224" s="33"/>
      <c r="G3224" s="33"/>
    </row>
    <row r="3225" spans="1:7" ht="15.75">
      <c r="A3225" s="33"/>
      <c r="B3225" s="33"/>
      <c r="G3225" s="33"/>
    </row>
    <row r="3226" spans="1:7" ht="15.75">
      <c r="A3226" s="33"/>
      <c r="B3226" s="33"/>
      <c r="G3226" s="33"/>
    </row>
    <row r="3227" spans="1:7" ht="15.75">
      <c r="A3227" s="33"/>
      <c r="B3227" s="33"/>
      <c r="G3227" s="33"/>
    </row>
    <row r="3228" spans="1:7" ht="15.75">
      <c r="A3228" s="33"/>
      <c r="B3228" s="33"/>
      <c r="G3228" s="33"/>
    </row>
    <row r="3229" spans="1:7" ht="15.75">
      <c r="A3229" s="33"/>
      <c r="B3229" s="33"/>
      <c r="G3229" s="33"/>
    </row>
    <row r="3230" spans="1:7" ht="15.75">
      <c r="A3230" s="33"/>
      <c r="B3230" s="33"/>
      <c r="G3230" s="33"/>
    </row>
    <row r="3231" spans="1:7" ht="15.75">
      <c r="A3231" s="33"/>
      <c r="B3231" s="33"/>
      <c r="G3231" s="33"/>
    </row>
    <row r="3232" spans="1:7" ht="15.75">
      <c r="A3232" s="33"/>
      <c r="B3232" s="33"/>
      <c r="G3232" s="33"/>
    </row>
    <row r="3233" spans="1:7" ht="15.75">
      <c r="A3233" s="33"/>
      <c r="B3233" s="33"/>
      <c r="G3233" s="33"/>
    </row>
    <row r="3234" spans="1:7" ht="15.75">
      <c r="A3234" s="33"/>
      <c r="B3234" s="33"/>
      <c r="G3234" s="33"/>
    </row>
    <row r="3235" spans="1:7" ht="15.75">
      <c r="A3235" s="33"/>
      <c r="B3235" s="33"/>
      <c r="G3235" s="33"/>
    </row>
    <row r="3236" spans="1:7" ht="15.75">
      <c r="A3236" s="33"/>
      <c r="B3236" s="33"/>
      <c r="G3236" s="33"/>
    </row>
    <row r="3237" spans="1:7" ht="15.75">
      <c r="A3237" s="33"/>
      <c r="B3237" s="33"/>
      <c r="G3237" s="33"/>
    </row>
    <row r="3238" spans="1:7" ht="15.75">
      <c r="A3238" s="33"/>
      <c r="B3238" s="33"/>
      <c r="G3238" s="33"/>
    </row>
    <row r="3239" spans="1:7" ht="15.75">
      <c r="A3239" s="33"/>
      <c r="B3239" s="33"/>
      <c r="G3239" s="33"/>
    </row>
    <row r="3240" spans="1:7" ht="15.75">
      <c r="A3240" s="33"/>
      <c r="B3240" s="33"/>
      <c r="G3240" s="33"/>
    </row>
    <row r="3241" spans="1:7" ht="15.75">
      <c r="A3241" s="33"/>
      <c r="B3241" s="33"/>
      <c r="G3241" s="33"/>
    </row>
    <row r="3242" spans="1:7" ht="15.75">
      <c r="A3242" s="33"/>
      <c r="B3242" s="33"/>
      <c r="G3242" s="33"/>
    </row>
    <row r="3243" spans="1:7" ht="15.75">
      <c r="A3243" s="33"/>
      <c r="B3243" s="33"/>
      <c r="G3243" s="33"/>
    </row>
    <row r="3244" spans="1:7" ht="15.75">
      <c r="A3244" s="33"/>
      <c r="B3244" s="33"/>
      <c r="G3244" s="33"/>
    </row>
    <row r="3245" spans="1:7" ht="15.75">
      <c r="A3245" s="33"/>
      <c r="B3245" s="33"/>
      <c r="G3245" s="33"/>
    </row>
    <row r="3246" spans="1:7" ht="15.75">
      <c r="A3246" s="33"/>
      <c r="B3246" s="33"/>
      <c r="G3246" s="33"/>
    </row>
    <row r="3247" spans="1:7" ht="15.75">
      <c r="A3247" s="33"/>
      <c r="B3247" s="33"/>
      <c r="G3247" s="33"/>
    </row>
    <row r="3248" spans="1:7" ht="15.75">
      <c r="A3248" s="33"/>
      <c r="B3248" s="33"/>
      <c r="G3248" s="33"/>
    </row>
    <row r="3249" spans="1:7" ht="15.75">
      <c r="A3249" s="33"/>
      <c r="B3249" s="33"/>
      <c r="G3249" s="33"/>
    </row>
    <row r="3250" spans="1:7" ht="15.75">
      <c r="A3250" s="33"/>
      <c r="B3250" s="33"/>
      <c r="G3250" s="33"/>
    </row>
    <row r="3251" spans="1:7" ht="15.75">
      <c r="A3251" s="33"/>
      <c r="B3251" s="33"/>
      <c r="G3251" s="33"/>
    </row>
    <row r="3252" spans="1:7" ht="15.75">
      <c r="A3252" s="33"/>
      <c r="B3252" s="33"/>
      <c r="G3252" s="33"/>
    </row>
    <row r="3253" spans="1:7" ht="15.75">
      <c r="A3253" s="33"/>
      <c r="B3253" s="33"/>
      <c r="G3253" s="33"/>
    </row>
    <row r="3254" spans="1:7" ht="15.75">
      <c r="A3254" s="33"/>
      <c r="B3254" s="33"/>
      <c r="G3254" s="33"/>
    </row>
    <row r="3255" spans="1:7" ht="15.75">
      <c r="A3255" s="33"/>
      <c r="B3255" s="33"/>
      <c r="G3255" s="33"/>
    </row>
    <row r="3256" spans="1:7" ht="15.75">
      <c r="A3256" s="33"/>
      <c r="B3256" s="33"/>
      <c r="G3256" s="33"/>
    </row>
    <row r="3257" spans="1:7" ht="15.75">
      <c r="A3257" s="33"/>
      <c r="B3257" s="33"/>
      <c r="G3257" s="33"/>
    </row>
    <row r="3258" spans="1:7" ht="15.75">
      <c r="A3258" s="33"/>
      <c r="B3258" s="33"/>
      <c r="G3258" s="33"/>
    </row>
    <row r="3259" spans="1:7" ht="15.75">
      <c r="A3259" s="33"/>
      <c r="B3259" s="33"/>
      <c r="G3259" s="33"/>
    </row>
    <row r="3260" spans="1:7" ht="15.75">
      <c r="A3260" s="33"/>
      <c r="B3260" s="33"/>
      <c r="G3260" s="33"/>
    </row>
    <row r="3261" spans="1:7" ht="15.75">
      <c r="A3261" s="33"/>
      <c r="B3261" s="33"/>
      <c r="G3261" s="33"/>
    </row>
    <row r="3262" spans="1:7" ht="15.75">
      <c r="A3262" s="33"/>
      <c r="B3262" s="33"/>
      <c r="G3262" s="33"/>
    </row>
    <row r="3263" spans="1:7" ht="15.75">
      <c r="A3263" s="33"/>
      <c r="B3263" s="33"/>
      <c r="G3263" s="33"/>
    </row>
    <row r="3264" spans="1:7" ht="15.75">
      <c r="A3264" s="33"/>
      <c r="B3264" s="33"/>
      <c r="G3264" s="33"/>
    </row>
    <row r="3265" spans="1:7" ht="15.75">
      <c r="A3265" s="33"/>
      <c r="B3265" s="33"/>
      <c r="G3265" s="33"/>
    </row>
    <row r="3266" spans="1:7" ht="15.75">
      <c r="A3266" s="33"/>
      <c r="B3266" s="33"/>
      <c r="G3266" s="33"/>
    </row>
    <row r="3267" spans="1:7" ht="15.75">
      <c r="A3267" s="33"/>
      <c r="B3267" s="33"/>
      <c r="G3267" s="33"/>
    </row>
    <row r="3268" spans="1:7" ht="15.75">
      <c r="A3268" s="33"/>
      <c r="B3268" s="33"/>
      <c r="G3268" s="33"/>
    </row>
    <row r="3269" spans="1:7" ht="15.75">
      <c r="A3269" s="33"/>
      <c r="B3269" s="33"/>
      <c r="G3269" s="33"/>
    </row>
    <row r="3270" spans="1:7" ht="15.75">
      <c r="A3270" s="33"/>
      <c r="B3270" s="33"/>
      <c r="G3270" s="33"/>
    </row>
    <row r="3271" spans="1:7" ht="15.75">
      <c r="A3271" s="33"/>
      <c r="B3271" s="33"/>
      <c r="G3271" s="33"/>
    </row>
    <row r="3272" spans="1:7" ht="15.75">
      <c r="A3272" s="33"/>
      <c r="B3272" s="33"/>
      <c r="G3272" s="33"/>
    </row>
    <row r="3273" spans="1:7" ht="15.75">
      <c r="A3273" s="33"/>
      <c r="B3273" s="33"/>
      <c r="G3273" s="33"/>
    </row>
    <row r="3274" spans="1:7" ht="15.75">
      <c r="A3274" s="33"/>
      <c r="B3274" s="33"/>
      <c r="G3274" s="33"/>
    </row>
    <row r="3275" spans="1:7" ht="15.75">
      <c r="A3275" s="33"/>
      <c r="B3275" s="33"/>
      <c r="G3275" s="33"/>
    </row>
    <row r="3276" spans="1:7" ht="15.75">
      <c r="A3276" s="33"/>
      <c r="B3276" s="33"/>
      <c r="G3276" s="33"/>
    </row>
    <row r="3277" spans="1:7" ht="15.75">
      <c r="A3277" s="33"/>
      <c r="B3277" s="33"/>
      <c r="G3277" s="33"/>
    </row>
    <row r="3278" spans="1:7" ht="15.75">
      <c r="A3278" s="33"/>
      <c r="B3278" s="33"/>
      <c r="G3278" s="33"/>
    </row>
    <row r="3279" spans="1:7" ht="15.75">
      <c r="A3279" s="33"/>
      <c r="B3279" s="33"/>
      <c r="G3279" s="33"/>
    </row>
    <row r="3280" spans="1:7" ht="15.75">
      <c r="A3280" s="33"/>
      <c r="B3280" s="33"/>
      <c r="G3280" s="33"/>
    </row>
    <row r="3281" spans="1:7" ht="15.75">
      <c r="A3281" s="33"/>
      <c r="B3281" s="33"/>
      <c r="G3281" s="33"/>
    </row>
    <row r="3282" spans="1:7" ht="15.75">
      <c r="A3282" s="33"/>
      <c r="B3282" s="33"/>
      <c r="G3282" s="33"/>
    </row>
    <row r="3283" spans="1:7" ht="15.75">
      <c r="A3283" s="33"/>
      <c r="B3283" s="33"/>
      <c r="G3283" s="33"/>
    </row>
    <row r="3284" spans="1:7" ht="15.75">
      <c r="A3284" s="33"/>
      <c r="B3284" s="33"/>
      <c r="G3284" s="33"/>
    </row>
    <row r="3285" spans="1:7" ht="15.75">
      <c r="A3285" s="33"/>
      <c r="B3285" s="33"/>
      <c r="G3285" s="33"/>
    </row>
    <row r="3286" spans="1:7" ht="15.75">
      <c r="A3286" s="33"/>
      <c r="B3286" s="33"/>
      <c r="G3286" s="33"/>
    </row>
    <row r="3287" spans="1:7" ht="15.75">
      <c r="A3287" s="33"/>
      <c r="B3287" s="33"/>
      <c r="G3287" s="33"/>
    </row>
    <row r="3288" spans="1:7" ht="15.75">
      <c r="A3288" s="33"/>
      <c r="B3288" s="33"/>
      <c r="G3288" s="33"/>
    </row>
    <row r="3289" spans="1:7" ht="15.75">
      <c r="A3289" s="33"/>
      <c r="B3289" s="33"/>
      <c r="G3289" s="33"/>
    </row>
    <row r="3290" spans="1:7" ht="15.75">
      <c r="A3290" s="33"/>
      <c r="B3290" s="33"/>
      <c r="G3290" s="33"/>
    </row>
    <row r="3291" spans="1:7" ht="15.75">
      <c r="A3291" s="33"/>
      <c r="B3291" s="33"/>
      <c r="G3291" s="33"/>
    </row>
    <row r="3292" spans="1:7" ht="15.75">
      <c r="A3292" s="33"/>
      <c r="B3292" s="33"/>
      <c r="G3292" s="33"/>
    </row>
    <row r="3293" spans="1:7" ht="15.75">
      <c r="A3293" s="33"/>
      <c r="B3293" s="33"/>
      <c r="G3293" s="33"/>
    </row>
    <row r="3294" spans="1:7" ht="15.75">
      <c r="A3294" s="33"/>
      <c r="B3294" s="33"/>
      <c r="G3294" s="33"/>
    </row>
    <row r="3295" spans="1:7" ht="15.75">
      <c r="A3295" s="33"/>
      <c r="B3295" s="33"/>
      <c r="G3295" s="33"/>
    </row>
    <row r="3296" spans="1:7" ht="15.75">
      <c r="A3296" s="33"/>
      <c r="B3296" s="33"/>
      <c r="G3296" s="33"/>
    </row>
    <row r="3297" spans="1:7" ht="15.75">
      <c r="A3297" s="33"/>
      <c r="B3297" s="33"/>
      <c r="G3297" s="33"/>
    </row>
    <row r="3298" spans="1:7" ht="15.75">
      <c r="A3298" s="33"/>
      <c r="B3298" s="33"/>
      <c r="G3298" s="33"/>
    </row>
    <row r="3299" spans="1:7" ht="15.75">
      <c r="A3299" s="33"/>
      <c r="B3299" s="33"/>
      <c r="G3299" s="33"/>
    </row>
    <row r="3300" spans="1:7" ht="15.75">
      <c r="A3300" s="33"/>
      <c r="B3300" s="33"/>
      <c r="G3300" s="33"/>
    </row>
    <row r="3301" spans="1:7" ht="15.75">
      <c r="A3301" s="33"/>
      <c r="B3301" s="33"/>
      <c r="G3301" s="33"/>
    </row>
    <row r="3302" spans="1:7" ht="15.75">
      <c r="A3302" s="33"/>
      <c r="B3302" s="33"/>
      <c r="G3302" s="33"/>
    </row>
    <row r="3303" spans="1:7" ht="15.75">
      <c r="A3303" s="33"/>
      <c r="B3303" s="33"/>
      <c r="G3303" s="33"/>
    </row>
    <row r="3304" spans="1:7" ht="15.75">
      <c r="A3304" s="33"/>
      <c r="B3304" s="33"/>
      <c r="G3304" s="33"/>
    </row>
    <row r="3305" spans="1:7" ht="15.75">
      <c r="A3305" s="33"/>
      <c r="B3305" s="33"/>
      <c r="G3305" s="33"/>
    </row>
    <row r="3306" spans="1:7" ht="15.75">
      <c r="A3306" s="33"/>
      <c r="B3306" s="33"/>
      <c r="G3306" s="33"/>
    </row>
    <row r="3307" spans="1:7" ht="15.75">
      <c r="A3307" s="33"/>
      <c r="B3307" s="33"/>
      <c r="G3307" s="33"/>
    </row>
    <row r="3308" spans="1:7" ht="15.75">
      <c r="A3308" s="33"/>
      <c r="B3308" s="33"/>
      <c r="G3308" s="33"/>
    </row>
    <row r="3309" spans="1:7" ht="15.75">
      <c r="A3309" s="33"/>
      <c r="B3309" s="33"/>
      <c r="G3309" s="33"/>
    </row>
    <row r="3310" spans="1:7" ht="15.75">
      <c r="A3310" s="33"/>
      <c r="B3310" s="33"/>
      <c r="G3310" s="33"/>
    </row>
    <row r="3311" spans="1:7" ht="15.75">
      <c r="A3311" s="33"/>
      <c r="B3311" s="33"/>
      <c r="G3311" s="33"/>
    </row>
    <row r="3312" spans="1:7" ht="15.75">
      <c r="A3312" s="33"/>
      <c r="B3312" s="33"/>
      <c r="G3312" s="33"/>
    </row>
    <row r="3313" spans="1:7" ht="15.75">
      <c r="A3313" s="33"/>
      <c r="B3313" s="33"/>
      <c r="G3313" s="33"/>
    </row>
    <row r="3314" spans="1:7" ht="15.75">
      <c r="A3314" s="33"/>
      <c r="B3314" s="33"/>
      <c r="G3314" s="33"/>
    </row>
    <row r="3315" spans="1:7" ht="15.75">
      <c r="A3315" s="33"/>
      <c r="B3315" s="33"/>
      <c r="G3315" s="33"/>
    </row>
    <row r="3316" spans="1:7" ht="15.75">
      <c r="A3316" s="33"/>
      <c r="B3316" s="33"/>
      <c r="G3316" s="33"/>
    </row>
    <row r="3317" spans="1:7" ht="15.75">
      <c r="A3317" s="33"/>
      <c r="B3317" s="33"/>
      <c r="G3317" s="33"/>
    </row>
    <row r="3318" spans="1:7" ht="15.75">
      <c r="A3318" s="33"/>
      <c r="B3318" s="33"/>
      <c r="G3318" s="33"/>
    </row>
    <row r="3319" spans="1:7" ht="15.75">
      <c r="A3319" s="33"/>
      <c r="B3319" s="33"/>
      <c r="G3319" s="33"/>
    </row>
    <row r="3320" spans="1:7" ht="15.75">
      <c r="A3320" s="33"/>
      <c r="B3320" s="33"/>
      <c r="G3320" s="33"/>
    </row>
    <row r="3321" spans="1:7" ht="15.75">
      <c r="A3321" s="33"/>
      <c r="B3321" s="33"/>
      <c r="G3321" s="33"/>
    </row>
    <row r="3322" spans="1:7" ht="15.75">
      <c r="A3322" s="33"/>
      <c r="B3322" s="33"/>
      <c r="G3322" s="33"/>
    </row>
    <row r="3323" spans="1:7" ht="15.75">
      <c r="A3323" s="33"/>
      <c r="B3323" s="33"/>
      <c r="G3323" s="33"/>
    </row>
    <row r="3324" spans="1:7" ht="15.75">
      <c r="A3324" s="33"/>
      <c r="B3324" s="33"/>
      <c r="G3324" s="33"/>
    </row>
    <row r="3325" spans="1:7" ht="15.75">
      <c r="A3325" s="33"/>
      <c r="B3325" s="33"/>
      <c r="G3325" s="33"/>
    </row>
    <row r="3326" spans="1:7" ht="15.75">
      <c r="A3326" s="33"/>
      <c r="B3326" s="33"/>
      <c r="G3326" s="33"/>
    </row>
    <row r="3327" spans="1:7" ht="15.75">
      <c r="A3327" s="33"/>
      <c r="B3327" s="33"/>
      <c r="G3327" s="33"/>
    </row>
    <row r="3328" spans="1:7" ht="15.75">
      <c r="A3328" s="33"/>
      <c r="B3328" s="33"/>
      <c r="G3328" s="33"/>
    </row>
    <row r="3329" spans="1:7" ht="15.75">
      <c r="A3329" s="33"/>
      <c r="B3329" s="33"/>
      <c r="G3329" s="33"/>
    </row>
    <row r="3330" spans="1:7" ht="15.75">
      <c r="A3330" s="33"/>
      <c r="B3330" s="33"/>
      <c r="G3330" s="33"/>
    </row>
    <row r="3331" spans="1:7" ht="15.75">
      <c r="A3331" s="33"/>
      <c r="B3331" s="33"/>
      <c r="G3331" s="33"/>
    </row>
    <row r="3332" spans="1:7" ht="15.75">
      <c r="A3332" s="33"/>
      <c r="B3332" s="33"/>
      <c r="G3332" s="33"/>
    </row>
    <row r="3333" spans="1:7" ht="15.75">
      <c r="A3333" s="33"/>
      <c r="B3333" s="33"/>
      <c r="G3333" s="33"/>
    </row>
    <row r="3334" spans="1:7" ht="15.75">
      <c r="A3334" s="33"/>
      <c r="B3334" s="33"/>
      <c r="G3334" s="33"/>
    </row>
    <row r="3335" spans="1:7" ht="15.75">
      <c r="A3335" s="33"/>
      <c r="B3335" s="33"/>
      <c r="G3335" s="33"/>
    </row>
    <row r="3336" spans="1:7" ht="15.75">
      <c r="A3336" s="33"/>
      <c r="B3336" s="33"/>
      <c r="G3336" s="33"/>
    </row>
    <row r="3337" spans="1:7" ht="15.75">
      <c r="A3337" s="33"/>
      <c r="B3337" s="33"/>
      <c r="G3337" s="33"/>
    </row>
    <row r="3338" spans="1:7" ht="15.75">
      <c r="A3338" s="33"/>
      <c r="B3338" s="33"/>
      <c r="G3338" s="33"/>
    </row>
    <row r="3339" spans="1:7" ht="15.75">
      <c r="A3339" s="33"/>
      <c r="B3339" s="33"/>
      <c r="G3339" s="33"/>
    </row>
    <row r="3340" spans="1:7" ht="15.75">
      <c r="A3340" s="33"/>
      <c r="B3340" s="33"/>
      <c r="G3340" s="33"/>
    </row>
    <row r="3341" spans="1:7" ht="15.75">
      <c r="A3341" s="33"/>
      <c r="B3341" s="33"/>
      <c r="G3341" s="33"/>
    </row>
    <row r="3342" spans="1:7" ht="15.75">
      <c r="A3342" s="33"/>
      <c r="B3342" s="33"/>
      <c r="G3342" s="33"/>
    </row>
    <row r="3343" spans="1:7" ht="15.75">
      <c r="A3343" s="33"/>
      <c r="B3343" s="33"/>
      <c r="G3343" s="33"/>
    </row>
    <row r="3344" spans="1:7" ht="15.75">
      <c r="A3344" s="33"/>
      <c r="B3344" s="33"/>
      <c r="G3344" s="33"/>
    </row>
    <row r="3345" spans="1:7" ht="15.75">
      <c r="A3345" s="33"/>
      <c r="B3345" s="33"/>
      <c r="G3345" s="33"/>
    </row>
    <row r="3346" spans="1:7" ht="15.75">
      <c r="A3346" s="33"/>
      <c r="B3346" s="33"/>
      <c r="G3346" s="33"/>
    </row>
    <row r="3347" spans="1:7" ht="15.75">
      <c r="A3347" s="33"/>
      <c r="B3347" s="33"/>
      <c r="G3347" s="33"/>
    </row>
    <row r="3348" spans="1:7" ht="15.75">
      <c r="A3348" s="33"/>
      <c r="B3348" s="33"/>
      <c r="G3348" s="33"/>
    </row>
    <row r="3349" spans="1:7" ht="15.75">
      <c r="A3349" s="33"/>
      <c r="B3349" s="33"/>
      <c r="G3349" s="33"/>
    </row>
    <row r="3350" spans="1:7" ht="15.75">
      <c r="A3350" s="33"/>
      <c r="B3350" s="33"/>
      <c r="G3350" s="33"/>
    </row>
    <row r="3351" spans="1:7" ht="15.75">
      <c r="A3351" s="33"/>
      <c r="B3351" s="33"/>
      <c r="G3351" s="33"/>
    </row>
    <row r="3352" spans="1:7" ht="15.75">
      <c r="A3352" s="33"/>
      <c r="B3352" s="33"/>
      <c r="G3352" s="33"/>
    </row>
    <row r="3353" spans="1:7" ht="15.75">
      <c r="A3353" s="33"/>
      <c r="B3353" s="33"/>
      <c r="G3353" s="33"/>
    </row>
    <row r="3354" spans="1:7" ht="15.75">
      <c r="A3354" s="33"/>
      <c r="B3354" s="33"/>
      <c r="G3354" s="33"/>
    </row>
    <row r="3355" spans="1:7" ht="15.75">
      <c r="A3355" s="33"/>
      <c r="B3355" s="33"/>
      <c r="G3355" s="33"/>
    </row>
    <row r="3356" spans="1:7" ht="15.75">
      <c r="A3356" s="33"/>
      <c r="B3356" s="33"/>
      <c r="G3356" s="33"/>
    </row>
    <row r="3357" spans="1:7" ht="15.75">
      <c r="A3357" s="33"/>
      <c r="B3357" s="33"/>
      <c r="G3357" s="33"/>
    </row>
    <row r="3358" spans="1:7" ht="15.75">
      <c r="A3358" s="33"/>
      <c r="B3358" s="33"/>
      <c r="G3358" s="33"/>
    </row>
    <row r="3359" spans="1:7" ht="15.75">
      <c r="A3359" s="33"/>
      <c r="B3359" s="33"/>
      <c r="G3359" s="33"/>
    </row>
    <row r="3360" spans="1:7" ht="15.75">
      <c r="A3360" s="33"/>
      <c r="B3360" s="33"/>
      <c r="G3360" s="33"/>
    </row>
    <row r="3361" spans="1:7" ht="15.75">
      <c r="A3361" s="33"/>
      <c r="B3361" s="33"/>
      <c r="G3361" s="33"/>
    </row>
    <row r="3362" spans="1:7" ht="15.75">
      <c r="A3362" s="33"/>
      <c r="B3362" s="33"/>
      <c r="G3362" s="33"/>
    </row>
    <row r="3363" spans="1:7" ht="15.75">
      <c r="A3363" s="33"/>
      <c r="B3363" s="33"/>
      <c r="G3363" s="33"/>
    </row>
    <row r="3364" spans="1:7" ht="15.75">
      <c r="A3364" s="33"/>
      <c r="B3364" s="33"/>
      <c r="G3364" s="33"/>
    </row>
    <row r="3365" spans="1:7" ht="15.75">
      <c r="A3365" s="33"/>
      <c r="B3365" s="33"/>
      <c r="G3365" s="33"/>
    </row>
    <row r="3366" spans="1:7" ht="15.75">
      <c r="A3366" s="33"/>
      <c r="B3366" s="33"/>
      <c r="G3366" s="33"/>
    </row>
    <row r="3367" spans="1:7" ht="15.75">
      <c r="A3367" s="33"/>
      <c r="B3367" s="33"/>
      <c r="G3367" s="33"/>
    </row>
    <row r="3368" spans="1:7" ht="15.75">
      <c r="A3368" s="33"/>
      <c r="B3368" s="33"/>
      <c r="G3368" s="33"/>
    </row>
    <row r="3369" spans="1:7" ht="15.75">
      <c r="A3369" s="33"/>
      <c r="B3369" s="33"/>
      <c r="G3369" s="33"/>
    </row>
    <row r="3370" spans="1:7" ht="15.75">
      <c r="A3370" s="33"/>
      <c r="B3370" s="33"/>
      <c r="G3370" s="33"/>
    </row>
    <row r="3371" spans="1:7" ht="15.75">
      <c r="A3371" s="33"/>
      <c r="B3371" s="33"/>
      <c r="G3371" s="33"/>
    </row>
    <row r="3372" spans="1:7" ht="15.75">
      <c r="A3372" s="33"/>
      <c r="B3372" s="33"/>
      <c r="G3372" s="33"/>
    </row>
    <row r="3373" spans="1:7" ht="15.75">
      <c r="A3373" s="33"/>
      <c r="B3373" s="33"/>
      <c r="G3373" s="33"/>
    </row>
    <row r="3374" spans="1:7" ht="15.75">
      <c r="A3374" s="33"/>
      <c r="B3374" s="33"/>
      <c r="G3374" s="33"/>
    </row>
    <row r="3375" spans="1:7" ht="15.75">
      <c r="A3375" s="33"/>
      <c r="B3375" s="33"/>
      <c r="G3375" s="33"/>
    </row>
    <row r="3376" spans="1:7" ht="15.75">
      <c r="A3376" s="33"/>
      <c r="B3376" s="33"/>
      <c r="G3376" s="33"/>
    </row>
    <row r="3377" spans="1:7" ht="15.75">
      <c r="A3377" s="33"/>
      <c r="B3377" s="33"/>
      <c r="G3377" s="33"/>
    </row>
    <row r="3378" spans="1:7" ht="15.75">
      <c r="A3378" s="33"/>
      <c r="B3378" s="33"/>
      <c r="G3378" s="33"/>
    </row>
    <row r="3379" spans="1:7" ht="15.75">
      <c r="A3379" s="33"/>
      <c r="B3379" s="33"/>
      <c r="G3379" s="33"/>
    </row>
    <row r="3380" spans="1:7" ht="15.75">
      <c r="A3380" s="33"/>
      <c r="B3380" s="33"/>
      <c r="G3380" s="33"/>
    </row>
    <row r="3381" spans="1:7" ht="15.75">
      <c r="A3381" s="33"/>
      <c r="B3381" s="33"/>
      <c r="G3381" s="33"/>
    </row>
    <row r="3382" spans="1:7" ht="15.75">
      <c r="A3382" s="33"/>
      <c r="B3382" s="33"/>
      <c r="G3382" s="33"/>
    </row>
    <row r="3383" spans="1:7" ht="15.75">
      <c r="A3383" s="33"/>
      <c r="B3383" s="33"/>
      <c r="G3383" s="33"/>
    </row>
    <row r="3384" spans="1:7" ht="15.75">
      <c r="A3384" s="33"/>
      <c r="B3384" s="33"/>
      <c r="G3384" s="33"/>
    </row>
    <row r="3385" spans="1:7" ht="15.75">
      <c r="A3385" s="33"/>
      <c r="B3385" s="33"/>
      <c r="G3385" s="33"/>
    </row>
    <row r="3386" spans="1:7" ht="15.75">
      <c r="A3386" s="33"/>
      <c r="B3386" s="33"/>
      <c r="G3386" s="33"/>
    </row>
    <row r="3387" spans="1:7" ht="15.75">
      <c r="A3387" s="33"/>
      <c r="B3387" s="33"/>
      <c r="G3387" s="33"/>
    </row>
    <row r="3388" spans="1:7" ht="15.75">
      <c r="A3388" s="33"/>
      <c r="B3388" s="33"/>
      <c r="G3388" s="33"/>
    </row>
    <row r="3389" spans="1:7" ht="15.75">
      <c r="A3389" s="33"/>
      <c r="B3389" s="33"/>
      <c r="G3389" s="33"/>
    </row>
    <row r="3390" spans="1:7" ht="15.75">
      <c r="A3390" s="33"/>
      <c r="B3390" s="33"/>
      <c r="G3390" s="33"/>
    </row>
    <row r="3391" spans="1:7" ht="15.75">
      <c r="A3391" s="33"/>
      <c r="B3391" s="33"/>
      <c r="G3391" s="33"/>
    </row>
    <row r="3392" spans="1:7" ht="15.75">
      <c r="A3392" s="33"/>
      <c r="B3392" s="33"/>
      <c r="G3392" s="33"/>
    </row>
    <row r="3393" spans="1:7" ht="15.75">
      <c r="A3393" s="33"/>
      <c r="B3393" s="33"/>
      <c r="G3393" s="33"/>
    </row>
    <row r="3394" spans="1:7" ht="15.75">
      <c r="A3394" s="33"/>
      <c r="B3394" s="33"/>
      <c r="G3394" s="33"/>
    </row>
    <row r="3395" spans="1:7" ht="15.75">
      <c r="A3395" s="33"/>
      <c r="B3395" s="33"/>
      <c r="G3395" s="33"/>
    </row>
    <row r="3396" spans="1:7" ht="15.75">
      <c r="A3396" s="33"/>
      <c r="B3396" s="33"/>
      <c r="G3396" s="33"/>
    </row>
    <row r="3397" spans="1:7" ht="15.75">
      <c r="A3397" s="33"/>
      <c r="B3397" s="33"/>
      <c r="G3397" s="33"/>
    </row>
    <row r="3398" spans="1:7" ht="15.75">
      <c r="A3398" s="33"/>
      <c r="B3398" s="33"/>
      <c r="G3398" s="33"/>
    </row>
    <row r="3399" spans="1:7" ht="15.75">
      <c r="A3399" s="33"/>
      <c r="B3399" s="33"/>
      <c r="G3399" s="33"/>
    </row>
    <row r="3400" spans="1:7" ht="15.75">
      <c r="A3400" s="33"/>
      <c r="B3400" s="33"/>
      <c r="G3400" s="33"/>
    </row>
    <row r="3401" spans="1:7" ht="15.75">
      <c r="A3401" s="33"/>
      <c r="B3401" s="33"/>
      <c r="G3401" s="33"/>
    </row>
    <row r="3402" spans="1:7" ht="15.75">
      <c r="A3402" s="33"/>
      <c r="B3402" s="33"/>
      <c r="G3402" s="33"/>
    </row>
    <row r="3403" spans="1:7" ht="15.75">
      <c r="A3403" s="33"/>
      <c r="B3403" s="33"/>
      <c r="G3403" s="33"/>
    </row>
    <row r="3404" spans="1:7" ht="15.75">
      <c r="A3404" s="33"/>
      <c r="B3404" s="33"/>
      <c r="G3404" s="33"/>
    </row>
    <row r="3405" spans="1:7" ht="15.75">
      <c r="A3405" s="33"/>
      <c r="B3405" s="33"/>
      <c r="G3405" s="33"/>
    </row>
    <row r="3406" spans="1:7" ht="15.75">
      <c r="A3406" s="33"/>
      <c r="B3406" s="33"/>
      <c r="G3406" s="33"/>
    </row>
    <row r="3407" spans="1:7" ht="15.75">
      <c r="A3407" s="33"/>
      <c r="B3407" s="33"/>
      <c r="G3407" s="33"/>
    </row>
    <row r="3408" spans="1:7" ht="15.75">
      <c r="A3408" s="33"/>
      <c r="B3408" s="33"/>
      <c r="G3408" s="33"/>
    </row>
    <row r="3409" spans="1:7" ht="15.75">
      <c r="A3409" s="33"/>
      <c r="B3409" s="33"/>
      <c r="G3409" s="33"/>
    </row>
    <row r="3410" spans="1:7" ht="15.75">
      <c r="A3410" s="33"/>
      <c r="B3410" s="33"/>
      <c r="G3410" s="33"/>
    </row>
    <row r="3411" spans="1:7" ht="15.75">
      <c r="A3411" s="33"/>
      <c r="B3411" s="33"/>
      <c r="G3411" s="33"/>
    </row>
    <row r="3412" spans="1:7" ht="15.75">
      <c r="A3412" s="33"/>
      <c r="B3412" s="33"/>
      <c r="G3412" s="33"/>
    </row>
    <row r="3413" spans="1:7" ht="15.75">
      <c r="A3413" s="33"/>
      <c r="B3413" s="33"/>
      <c r="G3413" s="33"/>
    </row>
    <row r="3414" spans="1:7" ht="15.75">
      <c r="A3414" s="33"/>
      <c r="B3414" s="33"/>
      <c r="G3414" s="33"/>
    </row>
    <row r="3415" spans="1:7" ht="15.75">
      <c r="A3415" s="33"/>
      <c r="B3415" s="33"/>
      <c r="G3415" s="33"/>
    </row>
    <row r="3416" spans="1:7" ht="15.75">
      <c r="A3416" s="33"/>
      <c r="B3416" s="33"/>
      <c r="G3416" s="33"/>
    </row>
    <row r="3417" spans="1:7" ht="15.75">
      <c r="A3417" s="33"/>
      <c r="B3417" s="33"/>
      <c r="G3417" s="33"/>
    </row>
    <row r="3418" spans="1:7" ht="15.75">
      <c r="A3418" s="33"/>
      <c r="B3418" s="33"/>
      <c r="G3418" s="33"/>
    </row>
    <row r="3419" spans="1:7" ht="15.75">
      <c r="A3419" s="33"/>
      <c r="B3419" s="33"/>
      <c r="G3419" s="33"/>
    </row>
    <row r="3420" spans="1:7" ht="15.75">
      <c r="A3420" s="33"/>
      <c r="B3420" s="33"/>
      <c r="G3420" s="33"/>
    </row>
    <row r="3421" spans="1:7" ht="15.75">
      <c r="A3421" s="33"/>
      <c r="B3421" s="33"/>
      <c r="G3421" s="33"/>
    </row>
    <row r="3422" spans="1:7" ht="15.75">
      <c r="A3422" s="33"/>
      <c r="B3422" s="33"/>
      <c r="G3422" s="33"/>
    </row>
    <row r="3423" spans="1:7" ht="15.75">
      <c r="A3423" s="33"/>
      <c r="B3423" s="33"/>
      <c r="G3423" s="33"/>
    </row>
    <row r="3424" spans="1:7" ht="15.75">
      <c r="A3424" s="33"/>
      <c r="B3424" s="33"/>
      <c r="G3424" s="33"/>
    </row>
    <row r="3425" spans="1:7" ht="15.75">
      <c r="A3425" s="33"/>
      <c r="B3425" s="33"/>
      <c r="G3425" s="33"/>
    </row>
    <row r="3426" spans="1:7" ht="15.75">
      <c r="A3426" s="33"/>
      <c r="B3426" s="33"/>
      <c r="G3426" s="33"/>
    </row>
    <row r="3427" spans="1:7" ht="15.75">
      <c r="A3427" s="33"/>
      <c r="B3427" s="33"/>
      <c r="G3427" s="33"/>
    </row>
    <row r="3428" spans="1:7" ht="15.75">
      <c r="A3428" s="33"/>
      <c r="B3428" s="33"/>
      <c r="G3428" s="33"/>
    </row>
    <row r="3429" spans="1:7" ht="15.75">
      <c r="A3429" s="33"/>
      <c r="B3429" s="33"/>
      <c r="G3429" s="33"/>
    </row>
    <row r="3430" spans="1:7" ht="15.75">
      <c r="A3430" s="33"/>
      <c r="B3430" s="33"/>
      <c r="G3430" s="33"/>
    </row>
    <row r="3431" spans="1:7" ht="15.75">
      <c r="A3431" s="33"/>
      <c r="B3431" s="33"/>
      <c r="G3431" s="33"/>
    </row>
    <row r="3432" spans="1:7" ht="15.75">
      <c r="A3432" s="33"/>
      <c r="B3432" s="33"/>
      <c r="G3432" s="33"/>
    </row>
    <row r="3433" spans="1:7" ht="15.75">
      <c r="A3433" s="33"/>
      <c r="B3433" s="33"/>
      <c r="G3433" s="33"/>
    </row>
    <row r="3434" spans="1:7" ht="15.75">
      <c r="A3434" s="33"/>
      <c r="B3434" s="33"/>
      <c r="G3434" s="33"/>
    </row>
    <row r="3435" spans="1:7" ht="15.75">
      <c r="A3435" s="33"/>
      <c r="B3435" s="33"/>
      <c r="G3435" s="33"/>
    </row>
    <row r="3436" spans="1:7" ht="15.75">
      <c r="A3436" s="33"/>
      <c r="B3436" s="33"/>
      <c r="G3436" s="33"/>
    </row>
    <row r="3437" spans="1:7" ht="15.75">
      <c r="A3437" s="33"/>
      <c r="B3437" s="33"/>
      <c r="G3437" s="33"/>
    </row>
    <row r="3438" spans="1:7" ht="15.75">
      <c r="A3438" s="33"/>
      <c r="B3438" s="33"/>
      <c r="G3438" s="33"/>
    </row>
    <row r="3439" spans="1:7" ht="15.75">
      <c r="A3439" s="33"/>
      <c r="B3439" s="33"/>
      <c r="G3439" s="33"/>
    </row>
    <row r="3440" spans="1:7" ht="15.75">
      <c r="A3440" s="33"/>
      <c r="B3440" s="33"/>
      <c r="G3440" s="33"/>
    </row>
    <row r="3441" spans="1:7" ht="15.75">
      <c r="A3441" s="33"/>
      <c r="B3441" s="33"/>
      <c r="G3441" s="33"/>
    </row>
    <row r="3442" spans="1:7" ht="15.75">
      <c r="A3442" s="33"/>
      <c r="B3442" s="33"/>
      <c r="G3442" s="33"/>
    </row>
    <row r="3443" spans="1:7" ht="15.75">
      <c r="A3443" s="33"/>
      <c r="B3443" s="33"/>
      <c r="G3443" s="33"/>
    </row>
    <row r="3444" spans="1:7" ht="15.75">
      <c r="A3444" s="33"/>
      <c r="B3444" s="33"/>
      <c r="G3444" s="33"/>
    </row>
    <row r="3445" spans="1:7" ht="15.75">
      <c r="A3445" s="33"/>
      <c r="B3445" s="33"/>
      <c r="G3445" s="33"/>
    </row>
    <row r="3446" spans="1:7" ht="15.75">
      <c r="A3446" s="33"/>
      <c r="B3446" s="33"/>
      <c r="G3446" s="33"/>
    </row>
    <row r="3447" spans="1:7" ht="15.75">
      <c r="A3447" s="33"/>
      <c r="B3447" s="33"/>
      <c r="G3447" s="33"/>
    </row>
    <row r="3448" spans="1:7" ht="15.75">
      <c r="A3448" s="33"/>
      <c r="B3448" s="33"/>
      <c r="G3448" s="33"/>
    </row>
    <row r="3449" spans="1:7" ht="15.75">
      <c r="A3449" s="33"/>
      <c r="B3449" s="33"/>
      <c r="G3449" s="33"/>
    </row>
    <row r="3450" spans="1:7" ht="15.75">
      <c r="A3450" s="33"/>
      <c r="B3450" s="33"/>
      <c r="G3450" s="33"/>
    </row>
    <row r="3451" spans="1:7" ht="15.75">
      <c r="A3451" s="33"/>
      <c r="B3451" s="33"/>
      <c r="G3451" s="33"/>
    </row>
    <row r="3452" spans="1:7" ht="15.75">
      <c r="A3452" s="33"/>
      <c r="B3452" s="33"/>
      <c r="G3452" s="33"/>
    </row>
    <row r="3453" spans="1:7" ht="15.75">
      <c r="A3453" s="33"/>
      <c r="B3453" s="33"/>
      <c r="G3453" s="33"/>
    </row>
    <row r="3454" spans="1:7" ht="15.75">
      <c r="A3454" s="33"/>
      <c r="B3454" s="33"/>
      <c r="G3454" s="33"/>
    </row>
    <row r="3455" spans="1:7" ht="15.75">
      <c r="A3455" s="33"/>
      <c r="B3455" s="33"/>
      <c r="G3455" s="33"/>
    </row>
    <row r="3456" spans="1:7" ht="15.75">
      <c r="A3456" s="33"/>
      <c r="B3456" s="33"/>
      <c r="G3456" s="33"/>
    </row>
    <row r="3457" spans="1:7" ht="15.75">
      <c r="A3457" s="33"/>
      <c r="B3457" s="33"/>
      <c r="G3457" s="33"/>
    </row>
    <row r="3458" spans="1:7" ht="15.75">
      <c r="A3458" s="33"/>
      <c r="B3458" s="33"/>
      <c r="G3458" s="33"/>
    </row>
    <row r="3459" spans="1:7" ht="15.75">
      <c r="A3459" s="33"/>
      <c r="B3459" s="33"/>
      <c r="G3459" s="33"/>
    </row>
    <row r="3460" spans="1:7" ht="15.75">
      <c r="A3460" s="33"/>
      <c r="B3460" s="33"/>
      <c r="G3460" s="33"/>
    </row>
    <row r="3461" spans="1:7" ht="15.75">
      <c r="A3461" s="33"/>
      <c r="B3461" s="33"/>
      <c r="G3461" s="33"/>
    </row>
    <row r="3462" spans="1:7" ht="15.75">
      <c r="A3462" s="33"/>
      <c r="B3462" s="33"/>
      <c r="G3462" s="33"/>
    </row>
    <row r="3463" spans="1:7" ht="15.75">
      <c r="A3463" s="33"/>
      <c r="B3463" s="33"/>
      <c r="G3463" s="33"/>
    </row>
    <row r="3464" spans="1:7" ht="15.75">
      <c r="A3464" s="33"/>
      <c r="B3464" s="33"/>
      <c r="G3464" s="33"/>
    </row>
    <row r="3465" spans="1:7" ht="15.75">
      <c r="A3465" s="33"/>
      <c r="B3465" s="33"/>
      <c r="G3465" s="33"/>
    </row>
    <row r="3466" spans="1:7" ht="15.75">
      <c r="A3466" s="33"/>
      <c r="B3466" s="33"/>
      <c r="G3466" s="33"/>
    </row>
    <row r="3467" spans="1:7" ht="15.75">
      <c r="A3467" s="33"/>
      <c r="B3467" s="33"/>
      <c r="G3467" s="33"/>
    </row>
    <row r="3468" spans="1:7" ht="15.75">
      <c r="A3468" s="33"/>
      <c r="B3468" s="33"/>
      <c r="G3468" s="33"/>
    </row>
    <row r="3469" spans="1:7" ht="15.75">
      <c r="A3469" s="33"/>
      <c r="B3469" s="33"/>
      <c r="G3469" s="33"/>
    </row>
    <row r="3470" spans="1:7" ht="15.75">
      <c r="A3470" s="33"/>
      <c r="B3470" s="33"/>
      <c r="G3470" s="33"/>
    </row>
    <row r="3471" spans="1:7" ht="15.75">
      <c r="A3471" s="33"/>
      <c r="B3471" s="33"/>
      <c r="G3471" s="33"/>
    </row>
    <row r="3472" spans="1:7" ht="15.75">
      <c r="A3472" s="33"/>
      <c r="B3472" s="33"/>
      <c r="G3472" s="33"/>
    </row>
    <row r="3473" spans="1:7" ht="15.75">
      <c r="A3473" s="33"/>
      <c r="B3473" s="33"/>
      <c r="G3473" s="33"/>
    </row>
    <row r="3474" spans="1:7" ht="15.75">
      <c r="A3474" s="33"/>
      <c r="B3474" s="33"/>
      <c r="G3474" s="33"/>
    </row>
    <row r="3475" spans="1:7" ht="15.75">
      <c r="A3475" s="33"/>
      <c r="B3475" s="33"/>
      <c r="G3475" s="33"/>
    </row>
    <row r="3476" spans="1:7" ht="15.75">
      <c r="A3476" s="33"/>
      <c r="B3476" s="33"/>
      <c r="G3476" s="33"/>
    </row>
    <row r="3477" spans="1:7" ht="15.75">
      <c r="A3477" s="33"/>
      <c r="B3477" s="33"/>
      <c r="G3477" s="33"/>
    </row>
    <row r="3478" spans="1:7" ht="15.75">
      <c r="A3478" s="33"/>
      <c r="B3478" s="33"/>
      <c r="G3478" s="33"/>
    </row>
    <row r="3479" spans="1:7" ht="15.75">
      <c r="A3479" s="33"/>
      <c r="B3479" s="33"/>
      <c r="G3479" s="33"/>
    </row>
    <row r="3480" spans="1:7" ht="15.75">
      <c r="A3480" s="33"/>
      <c r="B3480" s="33"/>
      <c r="G3480" s="33"/>
    </row>
    <row r="3481" spans="1:7" ht="15.75">
      <c r="A3481" s="33"/>
      <c r="B3481" s="33"/>
      <c r="G3481" s="33"/>
    </row>
    <row r="3482" spans="1:7" ht="15.75">
      <c r="A3482" s="33"/>
      <c r="B3482" s="33"/>
      <c r="G3482" s="33"/>
    </row>
    <row r="3483" spans="1:7" ht="15.75">
      <c r="A3483" s="33"/>
      <c r="B3483" s="33"/>
      <c r="G3483" s="33"/>
    </row>
    <row r="3484" spans="1:7" ht="15.75">
      <c r="A3484" s="33"/>
      <c r="B3484" s="33"/>
      <c r="G3484" s="33"/>
    </row>
    <row r="3485" spans="1:7" ht="15.75">
      <c r="A3485" s="33"/>
      <c r="B3485" s="33"/>
      <c r="G3485" s="33"/>
    </row>
    <row r="3486" spans="1:7" ht="15.75">
      <c r="A3486" s="33"/>
      <c r="B3486" s="33"/>
      <c r="G3486" s="33"/>
    </row>
    <row r="3487" spans="1:7" ht="15.75">
      <c r="A3487" s="33"/>
      <c r="B3487" s="33"/>
      <c r="G3487" s="33"/>
    </row>
    <row r="3488" spans="1:7" ht="15.75">
      <c r="A3488" s="33"/>
      <c r="B3488" s="33"/>
      <c r="G3488" s="33"/>
    </row>
    <row r="3489" spans="1:7" ht="15.75">
      <c r="A3489" s="33"/>
      <c r="B3489" s="33"/>
      <c r="G3489" s="33"/>
    </row>
    <row r="3490" spans="1:7" ht="15.75">
      <c r="A3490" s="33"/>
      <c r="B3490" s="33"/>
      <c r="G3490" s="33"/>
    </row>
    <row r="3491" spans="1:7" ht="15.75">
      <c r="A3491" s="33"/>
      <c r="B3491" s="33"/>
      <c r="G3491" s="33"/>
    </row>
    <row r="3492" spans="1:7" ht="15.75">
      <c r="A3492" s="33"/>
      <c r="B3492" s="33"/>
      <c r="G3492" s="33"/>
    </row>
    <row r="3493" spans="1:7" ht="15.75">
      <c r="A3493" s="33"/>
      <c r="B3493" s="33"/>
      <c r="G3493" s="33"/>
    </row>
    <row r="3494" spans="1:7" ht="15.75">
      <c r="A3494" s="33"/>
      <c r="B3494" s="33"/>
      <c r="G3494" s="33"/>
    </row>
    <row r="3495" spans="1:7" ht="15.75">
      <c r="A3495" s="33"/>
      <c r="B3495" s="33"/>
      <c r="G3495" s="33"/>
    </row>
    <row r="3496" spans="1:7" ht="15.75">
      <c r="A3496" s="33"/>
      <c r="B3496" s="33"/>
      <c r="G3496" s="33"/>
    </row>
    <row r="3497" spans="1:7" ht="15.75">
      <c r="A3497" s="33"/>
      <c r="B3497" s="33"/>
      <c r="G3497" s="33"/>
    </row>
    <row r="3498" spans="1:7" ht="15.75">
      <c r="A3498" s="33"/>
      <c r="B3498" s="33"/>
      <c r="G3498" s="33"/>
    </row>
    <row r="3499" spans="1:7" ht="15.75">
      <c r="A3499" s="33"/>
      <c r="B3499" s="33"/>
      <c r="G3499" s="33"/>
    </row>
    <row r="3500" spans="1:7" ht="15.75">
      <c r="A3500" s="33"/>
      <c r="B3500" s="33"/>
      <c r="G3500" s="33"/>
    </row>
    <row r="3501" spans="1:7" ht="15.75">
      <c r="A3501" s="33"/>
      <c r="B3501" s="33"/>
      <c r="G3501" s="33"/>
    </row>
    <row r="3502" spans="1:7" ht="15.75">
      <c r="A3502" s="33"/>
      <c r="B3502" s="33"/>
      <c r="G3502" s="33"/>
    </row>
    <row r="3503" spans="1:7" ht="15.75">
      <c r="A3503" s="33"/>
      <c r="B3503" s="33"/>
      <c r="G3503" s="33"/>
    </row>
    <row r="3504" spans="1:7" ht="15.75">
      <c r="A3504" s="33"/>
      <c r="B3504" s="33"/>
      <c r="G3504" s="33"/>
    </row>
    <row r="3505" spans="1:7" ht="15.75">
      <c r="A3505" s="33"/>
      <c r="B3505" s="33"/>
      <c r="G3505" s="33"/>
    </row>
    <row r="3506" spans="1:7" ht="15.75">
      <c r="A3506" s="33"/>
      <c r="B3506" s="33"/>
      <c r="G3506" s="33"/>
    </row>
    <row r="3507" spans="1:7" ht="15.75">
      <c r="A3507" s="33"/>
      <c r="B3507" s="33"/>
      <c r="G3507" s="33"/>
    </row>
    <row r="3508" spans="1:7" ht="15.75">
      <c r="A3508" s="33"/>
      <c r="B3508" s="33"/>
      <c r="G3508" s="33"/>
    </row>
    <row r="3509" spans="1:7" ht="15.75">
      <c r="A3509" s="33"/>
      <c r="B3509" s="33"/>
      <c r="G3509" s="33"/>
    </row>
    <row r="3510" spans="1:7" ht="15.75">
      <c r="A3510" s="33"/>
      <c r="B3510" s="33"/>
      <c r="G3510" s="33"/>
    </row>
    <row r="3511" spans="1:7" ht="15.75">
      <c r="A3511" s="33"/>
      <c r="B3511" s="33"/>
      <c r="G3511" s="33"/>
    </row>
    <row r="3512" spans="1:7" ht="15.75">
      <c r="A3512" s="33"/>
      <c r="B3512" s="33"/>
      <c r="G3512" s="33"/>
    </row>
    <row r="3513" spans="1:7" ht="15.75">
      <c r="A3513" s="33"/>
      <c r="B3513" s="33"/>
      <c r="G3513" s="33"/>
    </row>
    <row r="3514" spans="1:7" ht="15.75">
      <c r="A3514" s="33"/>
      <c r="B3514" s="33"/>
      <c r="G3514" s="33"/>
    </row>
    <row r="3515" spans="1:7" ht="15.75">
      <c r="A3515" s="33"/>
      <c r="B3515" s="33"/>
      <c r="G3515" s="33"/>
    </row>
    <row r="3516" spans="1:7" ht="15.75">
      <c r="A3516" s="33"/>
      <c r="B3516" s="33"/>
      <c r="G3516" s="33"/>
    </row>
    <row r="3517" spans="1:7" ht="15.75">
      <c r="A3517" s="33"/>
      <c r="B3517" s="33"/>
      <c r="G3517" s="33"/>
    </row>
    <row r="3518" spans="1:7" ht="15.75">
      <c r="A3518" s="33"/>
      <c r="B3518" s="33"/>
      <c r="G3518" s="33"/>
    </row>
    <row r="3519" spans="1:7" ht="15.75">
      <c r="A3519" s="33"/>
      <c r="B3519" s="33"/>
      <c r="G3519" s="33"/>
    </row>
    <row r="3520" spans="1:7" ht="15.75">
      <c r="A3520" s="33"/>
      <c r="B3520" s="33"/>
      <c r="G3520" s="33"/>
    </row>
    <row r="3521" spans="1:7" ht="15.75">
      <c r="A3521" s="33"/>
      <c r="B3521" s="33"/>
      <c r="G3521" s="33"/>
    </row>
    <row r="3522" spans="1:7" ht="15.75">
      <c r="A3522" s="33"/>
      <c r="B3522" s="33"/>
      <c r="G3522" s="33"/>
    </row>
    <row r="3523" spans="1:7" ht="15.75">
      <c r="A3523" s="33"/>
      <c r="B3523" s="33"/>
      <c r="G3523" s="33"/>
    </row>
    <row r="3524" spans="1:7" ht="15.75">
      <c r="A3524" s="33"/>
      <c r="B3524" s="33"/>
      <c r="G3524" s="33"/>
    </row>
    <row r="3525" spans="1:7" ht="15.75">
      <c r="A3525" s="33"/>
      <c r="B3525" s="33"/>
      <c r="G3525" s="33"/>
    </row>
    <row r="3526" spans="1:7" ht="15.75">
      <c r="A3526" s="33"/>
      <c r="B3526" s="33"/>
      <c r="G3526" s="33"/>
    </row>
    <row r="3527" spans="1:7" ht="15.75">
      <c r="A3527" s="33"/>
      <c r="B3527" s="33"/>
      <c r="G3527" s="33"/>
    </row>
    <row r="3528" spans="1:7" ht="15.75">
      <c r="A3528" s="33"/>
      <c r="B3528" s="33"/>
      <c r="G3528" s="33"/>
    </row>
    <row r="3529" spans="1:7" ht="15.75">
      <c r="A3529" s="33"/>
      <c r="B3529" s="33"/>
      <c r="G3529" s="33"/>
    </row>
    <row r="3530" spans="1:7" ht="15.75">
      <c r="A3530" s="33"/>
      <c r="B3530" s="33"/>
      <c r="G3530" s="33"/>
    </row>
    <row r="3531" spans="1:7" ht="15.75">
      <c r="A3531" s="33"/>
      <c r="B3531" s="33"/>
      <c r="G3531" s="33"/>
    </row>
    <row r="3532" spans="1:7" ht="15.75">
      <c r="A3532" s="33"/>
      <c r="B3532" s="33"/>
      <c r="G3532" s="33"/>
    </row>
    <row r="3533" spans="1:7" ht="15.75">
      <c r="A3533" s="33"/>
      <c r="B3533" s="33"/>
      <c r="G3533" s="33"/>
    </row>
    <row r="3534" spans="1:7" ht="15.75">
      <c r="A3534" s="33"/>
      <c r="B3534" s="33"/>
      <c r="G3534" s="33"/>
    </row>
    <row r="3535" spans="1:7" ht="15.75">
      <c r="A3535" s="33"/>
      <c r="B3535" s="33"/>
      <c r="G3535" s="33"/>
    </row>
    <row r="3536" spans="1:7" ht="15.75">
      <c r="A3536" s="33"/>
      <c r="B3536" s="33"/>
      <c r="G3536" s="33"/>
    </row>
    <row r="3537" spans="1:7" ht="15.75">
      <c r="A3537" s="33"/>
      <c r="B3537" s="33"/>
      <c r="G3537" s="33"/>
    </row>
    <row r="3538" spans="1:7" ht="15.75">
      <c r="A3538" s="33"/>
      <c r="B3538" s="33"/>
      <c r="G3538" s="33"/>
    </row>
    <row r="3539" spans="1:7" ht="15.75">
      <c r="A3539" s="33"/>
      <c r="B3539" s="33"/>
      <c r="G3539" s="33"/>
    </row>
    <row r="3540" spans="1:7" ht="15.75">
      <c r="A3540" s="33"/>
      <c r="B3540" s="33"/>
      <c r="G3540" s="33"/>
    </row>
    <row r="3541" spans="1:7" ht="15.75">
      <c r="A3541" s="33"/>
      <c r="B3541" s="33"/>
      <c r="G3541" s="33"/>
    </row>
    <row r="3542" spans="1:7" ht="15.75">
      <c r="A3542" s="33"/>
      <c r="B3542" s="33"/>
      <c r="G3542" s="33"/>
    </row>
    <row r="3543" spans="1:7" ht="15.75">
      <c r="A3543" s="33"/>
      <c r="B3543" s="33"/>
      <c r="G3543" s="33"/>
    </row>
    <row r="3544" spans="1:7" ht="15.75">
      <c r="A3544" s="33"/>
      <c r="B3544" s="33"/>
      <c r="G3544" s="33"/>
    </row>
    <row r="3545" spans="1:7" ht="15.75">
      <c r="A3545" s="33"/>
      <c r="B3545" s="33"/>
      <c r="G3545" s="33"/>
    </row>
    <row r="3546" spans="1:7" ht="15.75">
      <c r="A3546" s="33"/>
      <c r="B3546" s="33"/>
      <c r="G3546" s="33"/>
    </row>
    <row r="3547" spans="1:7" ht="15.75">
      <c r="A3547" s="33"/>
      <c r="B3547" s="33"/>
      <c r="G3547" s="33"/>
    </row>
    <row r="3548" spans="1:7" ht="15.75">
      <c r="A3548" s="33"/>
      <c r="B3548" s="33"/>
      <c r="G3548" s="33"/>
    </row>
    <row r="3549" spans="1:7" ht="15.75">
      <c r="A3549" s="33"/>
      <c r="B3549" s="33"/>
      <c r="G3549" s="33"/>
    </row>
    <row r="3550" spans="1:7" ht="15.75">
      <c r="A3550" s="33"/>
      <c r="B3550" s="33"/>
      <c r="G3550" s="33"/>
    </row>
    <row r="3551" spans="1:7" ht="15.75">
      <c r="A3551" s="33"/>
      <c r="B3551" s="33"/>
      <c r="G3551" s="33"/>
    </row>
    <row r="3552" spans="1:7" ht="15.75">
      <c r="A3552" s="33"/>
      <c r="B3552" s="33"/>
      <c r="G3552" s="33"/>
    </row>
    <row r="3553" spans="1:7" ht="15.75">
      <c r="A3553" s="33"/>
      <c r="B3553" s="33"/>
      <c r="G3553" s="33"/>
    </row>
    <row r="3554" spans="1:7" ht="15.75">
      <c r="A3554" s="33"/>
      <c r="B3554" s="33"/>
      <c r="G3554" s="33"/>
    </row>
    <row r="3555" spans="1:7" ht="15.75">
      <c r="A3555" s="33"/>
      <c r="B3555" s="33"/>
      <c r="G3555" s="33"/>
    </row>
    <row r="3556" spans="1:7" ht="15.75">
      <c r="A3556" s="33"/>
      <c r="B3556" s="33"/>
      <c r="G3556" s="33"/>
    </row>
    <row r="3557" spans="1:7" ht="15.75">
      <c r="A3557" s="33"/>
      <c r="B3557" s="33"/>
      <c r="G3557" s="33"/>
    </row>
    <row r="3558" spans="1:7" ht="15.75">
      <c r="A3558" s="33"/>
      <c r="B3558" s="33"/>
      <c r="G3558" s="33"/>
    </row>
    <row r="3559" spans="1:7" ht="15.75">
      <c r="A3559" s="33"/>
      <c r="B3559" s="33"/>
      <c r="G3559" s="33"/>
    </row>
    <row r="3560" spans="1:7" ht="15.75">
      <c r="A3560" s="33"/>
      <c r="B3560" s="33"/>
      <c r="G3560" s="33"/>
    </row>
    <row r="3561" spans="1:7" ht="15.75">
      <c r="A3561" s="33"/>
      <c r="B3561" s="33"/>
      <c r="G3561" s="33"/>
    </row>
    <row r="3562" spans="1:7" ht="15.75">
      <c r="A3562" s="33"/>
      <c r="B3562" s="33"/>
      <c r="G3562" s="33"/>
    </row>
    <row r="3563" spans="1:7" ht="15.75">
      <c r="A3563" s="33"/>
      <c r="B3563" s="33"/>
      <c r="G3563" s="33"/>
    </row>
    <row r="3564" spans="1:7" ht="15.75">
      <c r="A3564" s="33"/>
      <c r="B3564" s="33"/>
      <c r="G3564" s="33"/>
    </row>
    <row r="3565" spans="1:7" ht="15.75">
      <c r="A3565" s="33"/>
      <c r="B3565" s="33"/>
      <c r="G3565" s="33"/>
    </row>
    <row r="3566" spans="1:7" ht="15.75">
      <c r="A3566" s="33"/>
      <c r="B3566" s="33"/>
      <c r="G3566" s="33"/>
    </row>
    <row r="3567" spans="1:7" ht="15.75">
      <c r="A3567" s="33"/>
      <c r="B3567" s="33"/>
      <c r="G3567" s="33"/>
    </row>
    <row r="3568" spans="1:7" ht="15.75">
      <c r="A3568" s="33"/>
      <c r="B3568" s="33"/>
      <c r="G3568" s="33"/>
    </row>
    <row r="3569" spans="1:7" ht="15.75">
      <c r="A3569" s="33"/>
      <c r="B3569" s="33"/>
      <c r="G3569" s="33"/>
    </row>
    <row r="3570" spans="1:7" ht="15.75">
      <c r="A3570" s="33"/>
      <c r="B3570" s="33"/>
      <c r="G3570" s="33"/>
    </row>
    <row r="3571" spans="1:7" ht="15.75">
      <c r="A3571" s="33"/>
      <c r="B3571" s="33"/>
      <c r="G3571" s="33"/>
    </row>
    <row r="3572" spans="1:7" ht="15.75">
      <c r="A3572" s="33"/>
      <c r="B3572" s="33"/>
      <c r="G3572" s="33"/>
    </row>
    <row r="3573" spans="1:7" ht="15.75">
      <c r="A3573" s="33"/>
      <c r="B3573" s="33"/>
      <c r="G3573" s="33"/>
    </row>
    <row r="3574" spans="1:7" ht="15.75">
      <c r="A3574" s="33"/>
      <c r="B3574" s="33"/>
      <c r="G3574" s="33"/>
    </row>
    <row r="3575" spans="1:7" ht="15.75">
      <c r="A3575" s="33"/>
      <c r="B3575" s="33"/>
      <c r="G3575" s="33"/>
    </row>
    <row r="3576" spans="1:7" ht="15.75">
      <c r="A3576" s="33"/>
      <c r="B3576" s="33"/>
      <c r="G3576" s="33"/>
    </row>
    <row r="3577" spans="1:7" ht="15.75">
      <c r="A3577" s="33"/>
      <c r="B3577" s="33"/>
      <c r="G3577" s="33"/>
    </row>
    <row r="3578" spans="1:7" ht="15.75">
      <c r="A3578" s="33"/>
      <c r="B3578" s="33"/>
      <c r="G3578" s="33"/>
    </row>
    <row r="3579" spans="1:7" ht="15.75">
      <c r="A3579" s="33"/>
      <c r="B3579" s="33"/>
      <c r="G3579" s="33"/>
    </row>
    <row r="3580" spans="1:7" ht="15.75">
      <c r="A3580" s="33"/>
      <c r="B3580" s="33"/>
      <c r="G3580" s="33"/>
    </row>
    <row r="3581" spans="1:7" ht="15.75">
      <c r="A3581" s="33"/>
      <c r="B3581" s="33"/>
      <c r="G3581" s="33"/>
    </row>
    <row r="3582" spans="1:7" ht="15.75">
      <c r="A3582" s="33"/>
      <c r="B3582" s="33"/>
      <c r="G3582" s="33"/>
    </row>
    <row r="3583" spans="1:7" ht="15.75">
      <c r="A3583" s="33"/>
      <c r="B3583" s="33"/>
      <c r="G3583" s="33"/>
    </row>
    <row r="3584" spans="1:7" ht="15.75">
      <c r="A3584" s="33"/>
      <c r="B3584" s="33"/>
      <c r="G3584" s="33"/>
    </row>
    <row r="3585" spans="1:7" ht="15.75">
      <c r="A3585" s="33"/>
      <c r="B3585" s="33"/>
      <c r="G3585" s="33"/>
    </row>
    <row r="3586" spans="1:7" ht="15.75">
      <c r="A3586" s="33"/>
      <c r="B3586" s="33"/>
      <c r="G3586" s="33"/>
    </row>
    <row r="3587" spans="1:7" ht="15.75">
      <c r="A3587" s="33"/>
      <c r="B3587" s="33"/>
      <c r="G3587" s="33"/>
    </row>
    <row r="3588" spans="1:7" ht="15.75">
      <c r="A3588" s="33"/>
      <c r="B3588" s="33"/>
      <c r="G3588" s="33"/>
    </row>
    <row r="3589" spans="1:7" ht="15.75">
      <c r="A3589" s="33"/>
      <c r="B3589" s="33"/>
      <c r="G3589" s="33"/>
    </row>
    <row r="3590" spans="1:7" ht="15.75">
      <c r="A3590" s="33"/>
      <c r="B3590" s="33"/>
      <c r="G3590" s="33"/>
    </row>
    <row r="3591" spans="1:7" ht="15.75">
      <c r="A3591" s="33"/>
      <c r="B3591" s="33"/>
      <c r="G3591" s="33"/>
    </row>
    <row r="3592" spans="1:7" ht="15.75">
      <c r="A3592" s="33"/>
      <c r="B3592" s="33"/>
      <c r="G3592" s="33"/>
    </row>
    <row r="3593" spans="1:7" ht="15.75">
      <c r="A3593" s="33"/>
      <c r="B3593" s="33"/>
      <c r="G3593" s="33"/>
    </row>
    <row r="3594" spans="1:7" ht="15.75">
      <c r="A3594" s="33"/>
      <c r="B3594" s="33"/>
      <c r="G3594" s="33"/>
    </row>
    <row r="3595" spans="1:7" ht="15.75">
      <c r="A3595" s="33"/>
      <c r="B3595" s="33"/>
      <c r="G3595" s="33"/>
    </row>
    <row r="3596" spans="1:7" ht="15.75">
      <c r="A3596" s="33"/>
      <c r="B3596" s="33"/>
      <c r="G3596" s="33"/>
    </row>
    <row r="3597" spans="1:7" ht="15.75">
      <c r="A3597" s="33"/>
      <c r="B3597" s="33"/>
      <c r="G3597" s="33"/>
    </row>
    <row r="3598" spans="1:7" ht="15.75">
      <c r="A3598" s="33"/>
      <c r="B3598" s="33"/>
      <c r="G3598" s="33"/>
    </row>
    <row r="3599" spans="1:7" ht="15.75">
      <c r="A3599" s="33"/>
      <c r="B3599" s="33"/>
      <c r="G3599" s="33"/>
    </row>
    <row r="3600" spans="1:7" ht="15.75">
      <c r="A3600" s="33"/>
      <c r="B3600" s="33"/>
      <c r="G3600" s="33"/>
    </row>
    <row r="3601" spans="1:7" ht="15.75">
      <c r="A3601" s="33"/>
      <c r="B3601" s="33"/>
      <c r="G3601" s="33"/>
    </row>
    <row r="3602" spans="1:7" ht="15.75">
      <c r="A3602" s="33"/>
      <c r="B3602" s="33"/>
      <c r="G3602" s="33"/>
    </row>
    <row r="3603" spans="1:7" ht="15.75">
      <c r="A3603" s="33"/>
      <c r="B3603" s="33"/>
      <c r="G3603" s="33"/>
    </row>
    <row r="3604" spans="1:7" ht="15.75">
      <c r="A3604" s="33"/>
      <c r="B3604" s="33"/>
      <c r="G3604" s="33"/>
    </row>
    <row r="3605" spans="1:7" ht="15.75">
      <c r="A3605" s="33"/>
      <c r="B3605" s="33"/>
      <c r="G3605" s="33"/>
    </row>
    <row r="3606" spans="1:7" ht="15.75">
      <c r="A3606" s="33"/>
      <c r="B3606" s="33"/>
      <c r="G3606" s="33"/>
    </row>
    <row r="3607" spans="1:7" ht="15.75">
      <c r="A3607" s="33"/>
      <c r="B3607" s="33"/>
      <c r="G3607" s="33"/>
    </row>
    <row r="3608" spans="1:7" ht="15.75">
      <c r="A3608" s="33"/>
      <c r="B3608" s="33"/>
      <c r="G3608" s="33"/>
    </row>
    <row r="3609" spans="1:7" ht="15.75">
      <c r="A3609" s="33"/>
      <c r="B3609" s="33"/>
      <c r="G3609" s="33"/>
    </row>
    <row r="3610" spans="1:7" ht="15.75">
      <c r="A3610" s="33"/>
      <c r="B3610" s="33"/>
      <c r="G3610" s="33"/>
    </row>
    <row r="3611" spans="1:7" ht="15.75">
      <c r="A3611" s="33"/>
      <c r="B3611" s="33"/>
      <c r="G3611" s="33"/>
    </row>
    <row r="3612" spans="1:7" ht="15.75">
      <c r="A3612" s="33"/>
      <c r="B3612" s="33"/>
      <c r="G3612" s="33"/>
    </row>
    <row r="3613" spans="1:7" ht="15.75">
      <c r="A3613" s="33"/>
      <c r="B3613" s="33"/>
      <c r="G3613" s="33"/>
    </row>
    <row r="3614" spans="1:7" ht="15.75">
      <c r="A3614" s="33"/>
      <c r="B3614" s="33"/>
      <c r="G3614" s="33"/>
    </row>
    <row r="3615" spans="1:7" ht="15.75">
      <c r="A3615" s="33"/>
      <c r="B3615" s="33"/>
      <c r="G3615" s="33"/>
    </row>
    <row r="3616" spans="1:7" ht="15.75">
      <c r="A3616" s="33"/>
      <c r="B3616" s="33"/>
      <c r="G3616" s="33"/>
    </row>
    <row r="3617" spans="1:7" ht="15.75">
      <c r="A3617" s="33"/>
      <c r="B3617" s="33"/>
      <c r="G3617" s="33"/>
    </row>
    <row r="3618" spans="1:7" ht="15.75">
      <c r="A3618" s="33"/>
      <c r="B3618" s="33"/>
      <c r="G3618" s="33"/>
    </row>
    <row r="3619" spans="1:7" ht="15.75">
      <c r="A3619" s="33"/>
      <c r="B3619" s="33"/>
      <c r="G3619" s="33"/>
    </row>
    <row r="3620" spans="1:7" ht="15.75">
      <c r="A3620" s="33"/>
      <c r="B3620" s="33"/>
      <c r="G3620" s="33"/>
    </row>
    <row r="3621" spans="1:7" ht="15.75">
      <c r="A3621" s="33"/>
      <c r="B3621" s="33"/>
      <c r="G3621" s="33"/>
    </row>
    <row r="3622" spans="1:7" ht="15.75">
      <c r="A3622" s="33"/>
      <c r="B3622" s="33"/>
      <c r="G3622" s="33"/>
    </row>
    <row r="3623" spans="1:7" ht="15.75">
      <c r="A3623" s="33"/>
      <c r="B3623" s="33"/>
      <c r="G3623" s="33"/>
    </row>
    <row r="3624" spans="1:7" ht="15.75">
      <c r="A3624" s="33"/>
      <c r="B3624" s="33"/>
      <c r="G3624" s="33"/>
    </row>
    <row r="3625" spans="1:7" ht="15.75">
      <c r="A3625" s="33"/>
      <c r="B3625" s="33"/>
      <c r="G3625" s="33"/>
    </row>
    <row r="3626" spans="1:7" ht="15.75">
      <c r="A3626" s="33"/>
      <c r="B3626" s="33"/>
      <c r="G3626" s="33"/>
    </row>
    <row r="3627" spans="1:7" ht="15.75">
      <c r="A3627" s="33"/>
      <c r="B3627" s="33"/>
      <c r="G3627" s="33"/>
    </row>
    <row r="3628" spans="1:7" ht="15.75">
      <c r="A3628" s="33"/>
      <c r="B3628" s="33"/>
      <c r="G3628" s="33"/>
    </row>
    <row r="3629" spans="1:7" ht="15.75">
      <c r="A3629" s="33"/>
      <c r="B3629" s="33"/>
      <c r="G3629" s="33"/>
    </row>
    <row r="3630" spans="1:7" ht="15.75">
      <c r="A3630" s="33"/>
      <c r="B3630" s="33"/>
      <c r="G3630" s="33"/>
    </row>
    <row r="3631" spans="1:7" ht="15.75">
      <c r="A3631" s="33"/>
      <c r="B3631" s="33"/>
      <c r="G3631" s="33"/>
    </row>
    <row r="3632" spans="1:7" ht="15.75">
      <c r="A3632" s="33"/>
      <c r="B3632" s="33"/>
      <c r="G3632" s="33"/>
    </row>
    <row r="3633" spans="1:7" ht="15.75">
      <c r="A3633" s="33"/>
      <c r="B3633" s="33"/>
      <c r="G3633" s="33"/>
    </row>
    <row r="3634" spans="1:7" ht="15.75">
      <c r="A3634" s="33"/>
      <c r="B3634" s="33"/>
      <c r="G3634" s="33"/>
    </row>
    <row r="3635" spans="1:7" ht="15.75">
      <c r="A3635" s="33"/>
      <c r="B3635" s="33"/>
      <c r="G3635" s="33"/>
    </row>
    <row r="3636" spans="1:7" ht="15.75">
      <c r="A3636" s="33"/>
      <c r="B3636" s="33"/>
      <c r="G3636" s="33"/>
    </row>
    <row r="3637" spans="1:7" ht="15.75">
      <c r="A3637" s="33"/>
      <c r="B3637" s="33"/>
      <c r="G3637" s="33"/>
    </row>
    <row r="3638" spans="1:7" ht="15.75">
      <c r="A3638" s="33"/>
      <c r="B3638" s="33"/>
      <c r="G3638" s="33"/>
    </row>
    <row r="3639" spans="1:7" ht="15.75">
      <c r="A3639" s="33"/>
      <c r="B3639" s="33"/>
      <c r="G3639" s="33"/>
    </row>
    <row r="3640" spans="1:7" ht="15.75">
      <c r="A3640" s="33"/>
      <c r="B3640" s="33"/>
      <c r="G3640" s="33"/>
    </row>
    <row r="3641" spans="1:7" ht="15.75">
      <c r="A3641" s="33"/>
      <c r="B3641" s="33"/>
      <c r="G3641" s="33"/>
    </row>
    <row r="3642" spans="1:7" ht="15.75">
      <c r="A3642" s="33"/>
      <c r="B3642" s="33"/>
      <c r="G3642" s="33"/>
    </row>
    <row r="3643" spans="1:7" ht="15.75">
      <c r="A3643" s="33"/>
      <c r="B3643" s="33"/>
      <c r="G3643" s="33"/>
    </row>
    <row r="3644" spans="1:7" ht="15.75">
      <c r="A3644" s="33"/>
      <c r="B3644" s="33"/>
      <c r="G3644" s="33"/>
    </row>
    <row r="3645" spans="1:7" ht="15.75">
      <c r="A3645" s="33"/>
      <c r="B3645" s="33"/>
      <c r="G3645" s="33"/>
    </row>
    <row r="3646" spans="1:7" ht="15.75">
      <c r="A3646" s="33"/>
      <c r="B3646" s="33"/>
      <c r="G3646" s="33"/>
    </row>
    <row r="3647" spans="1:7" ht="15.75">
      <c r="A3647" s="33"/>
      <c r="B3647" s="33"/>
      <c r="G3647" s="33"/>
    </row>
    <row r="3648" spans="1:7" ht="15.75">
      <c r="A3648" s="33"/>
      <c r="B3648" s="33"/>
      <c r="G3648" s="33"/>
    </row>
    <row r="3649" spans="1:7" ht="15.75">
      <c r="A3649" s="33"/>
      <c r="B3649" s="33"/>
      <c r="G3649" s="33"/>
    </row>
    <row r="3650" spans="1:7" ht="15.75">
      <c r="A3650" s="33"/>
      <c r="B3650" s="33"/>
      <c r="G3650" s="33"/>
    </row>
    <row r="3651" spans="1:7" ht="15.75">
      <c r="A3651" s="33"/>
      <c r="B3651" s="33"/>
      <c r="G3651" s="33"/>
    </row>
    <row r="3652" spans="1:7" ht="15.75">
      <c r="A3652" s="33"/>
      <c r="B3652" s="33"/>
      <c r="G3652" s="33"/>
    </row>
    <row r="3653" spans="1:7" ht="15.75">
      <c r="A3653" s="33"/>
      <c r="B3653" s="33"/>
      <c r="G3653" s="33"/>
    </row>
    <row r="3654" spans="1:7" ht="15.75">
      <c r="A3654" s="33"/>
      <c r="B3654" s="33"/>
      <c r="G3654" s="33"/>
    </row>
    <row r="3655" spans="1:7" ht="15.75">
      <c r="A3655" s="33"/>
      <c r="B3655" s="33"/>
      <c r="G3655" s="33"/>
    </row>
    <row r="3656" spans="1:7" ht="15.75">
      <c r="A3656" s="33"/>
      <c r="B3656" s="33"/>
      <c r="G3656" s="33"/>
    </row>
    <row r="3657" spans="1:7" ht="15.75">
      <c r="A3657" s="33"/>
      <c r="B3657" s="33"/>
      <c r="G3657" s="33"/>
    </row>
    <row r="3658" spans="1:7" ht="15.75">
      <c r="A3658" s="33"/>
      <c r="B3658" s="33"/>
      <c r="G3658" s="33"/>
    </row>
    <row r="3659" spans="1:7" ht="15.75">
      <c r="A3659" s="33"/>
      <c r="B3659" s="33"/>
      <c r="G3659" s="33"/>
    </row>
    <row r="3660" spans="1:7" ht="15.75">
      <c r="A3660" s="33"/>
      <c r="B3660" s="33"/>
      <c r="G3660" s="33"/>
    </row>
    <row r="3661" spans="1:7" ht="15.75">
      <c r="A3661" s="33"/>
      <c r="B3661" s="33"/>
      <c r="G3661" s="33"/>
    </row>
    <row r="3662" spans="1:7" ht="15.75">
      <c r="A3662" s="33"/>
      <c r="B3662" s="33"/>
      <c r="G3662" s="33"/>
    </row>
    <row r="3663" spans="1:7" ht="15.75">
      <c r="A3663" s="33"/>
      <c r="B3663" s="33"/>
      <c r="G3663" s="33"/>
    </row>
    <row r="3664" spans="1:7" ht="15.75">
      <c r="A3664" s="33"/>
      <c r="B3664" s="33"/>
      <c r="G3664" s="33"/>
    </row>
    <row r="3665" spans="1:7" ht="15.75">
      <c r="A3665" s="33"/>
      <c r="B3665" s="33"/>
      <c r="G3665" s="33"/>
    </row>
    <row r="3666" spans="1:7" ht="15.75">
      <c r="A3666" s="33"/>
      <c r="B3666" s="33"/>
      <c r="G3666" s="33"/>
    </row>
    <row r="3667" spans="1:7" ht="15.75">
      <c r="A3667" s="33"/>
      <c r="B3667" s="33"/>
      <c r="G3667" s="33"/>
    </row>
    <row r="3668" spans="1:7" ht="15.75">
      <c r="A3668" s="33"/>
      <c r="B3668" s="33"/>
      <c r="G3668" s="33"/>
    </row>
    <row r="3669" spans="1:7" ht="15.75">
      <c r="A3669" s="33"/>
      <c r="B3669" s="33"/>
      <c r="G3669" s="33"/>
    </row>
    <row r="3670" spans="1:7" ht="15.75">
      <c r="A3670" s="33"/>
      <c r="B3670" s="33"/>
      <c r="G3670" s="33"/>
    </row>
    <row r="3671" spans="1:7" ht="15.75">
      <c r="A3671" s="33"/>
      <c r="B3671" s="33"/>
      <c r="G3671" s="33"/>
    </row>
    <row r="3672" spans="1:7" ht="15.75">
      <c r="A3672" s="33"/>
      <c r="B3672" s="33"/>
      <c r="G3672" s="33"/>
    </row>
    <row r="3673" spans="1:7" ht="15.75">
      <c r="A3673" s="33"/>
      <c r="B3673" s="33"/>
      <c r="G3673" s="33"/>
    </row>
    <row r="3674" spans="1:7" ht="15.75">
      <c r="A3674" s="33"/>
      <c r="B3674" s="33"/>
      <c r="G3674" s="33"/>
    </row>
    <row r="3675" spans="1:7" ht="15.75">
      <c r="A3675" s="33"/>
      <c r="B3675" s="33"/>
      <c r="G3675" s="33"/>
    </row>
    <row r="3676" spans="1:7" ht="15.75">
      <c r="A3676" s="33"/>
      <c r="B3676" s="33"/>
      <c r="G3676" s="33"/>
    </row>
    <row r="3677" spans="1:7" ht="15.75">
      <c r="A3677" s="33"/>
      <c r="B3677" s="33"/>
      <c r="G3677" s="33"/>
    </row>
    <row r="3678" spans="1:7" ht="15.75">
      <c r="A3678" s="33"/>
      <c r="B3678" s="33"/>
      <c r="G3678" s="33"/>
    </row>
    <row r="3679" spans="1:7" ht="15.75">
      <c r="A3679" s="33"/>
      <c r="B3679" s="33"/>
      <c r="G3679" s="33"/>
    </row>
    <row r="3680" spans="1:7" ht="15.75">
      <c r="A3680" s="33"/>
      <c r="B3680" s="33"/>
      <c r="G3680" s="33"/>
    </row>
    <row r="3681" spans="1:7" ht="15.75">
      <c r="A3681" s="33"/>
      <c r="B3681" s="33"/>
      <c r="G3681" s="33"/>
    </row>
    <row r="3682" spans="1:7" ht="15.75">
      <c r="A3682" s="33"/>
      <c r="B3682" s="33"/>
      <c r="G3682" s="33"/>
    </row>
    <row r="3683" spans="1:7" ht="15.75">
      <c r="A3683" s="33"/>
      <c r="B3683" s="33"/>
      <c r="G3683" s="33"/>
    </row>
    <row r="3684" spans="1:7" ht="15.75">
      <c r="A3684" s="33"/>
      <c r="B3684" s="33"/>
      <c r="G3684" s="33"/>
    </row>
    <row r="3685" spans="1:7" ht="15.75">
      <c r="A3685" s="33"/>
      <c r="B3685" s="33"/>
      <c r="G3685" s="33"/>
    </row>
    <row r="3686" spans="1:7" ht="15.75">
      <c r="A3686" s="33"/>
      <c r="B3686" s="33"/>
      <c r="G3686" s="33"/>
    </row>
    <row r="3687" spans="1:7" ht="15.75">
      <c r="A3687" s="33"/>
      <c r="B3687" s="33"/>
      <c r="G3687" s="33"/>
    </row>
    <row r="3688" spans="1:7" ht="15.75">
      <c r="A3688" s="33"/>
      <c r="B3688" s="33"/>
      <c r="G3688" s="33"/>
    </row>
    <row r="3689" spans="1:7" ht="15.75">
      <c r="A3689" s="33"/>
      <c r="B3689" s="33"/>
      <c r="G3689" s="33"/>
    </row>
    <row r="3690" spans="1:7" ht="15.75">
      <c r="A3690" s="33"/>
      <c r="B3690" s="33"/>
      <c r="G3690" s="33"/>
    </row>
    <row r="3691" spans="1:7" ht="15.75">
      <c r="A3691" s="33"/>
      <c r="B3691" s="33"/>
      <c r="G3691" s="33"/>
    </row>
    <row r="3692" spans="1:7" ht="15.75">
      <c r="A3692" s="33"/>
      <c r="B3692" s="33"/>
      <c r="G3692" s="33"/>
    </row>
    <row r="3693" spans="1:7" ht="15.75">
      <c r="A3693" s="33"/>
      <c r="B3693" s="33"/>
      <c r="G3693" s="33"/>
    </row>
    <row r="3694" spans="1:7" ht="15.75">
      <c r="A3694" s="33"/>
      <c r="B3694" s="33"/>
      <c r="G3694" s="33"/>
    </row>
    <row r="3695" spans="1:7" ht="15.75">
      <c r="A3695" s="33"/>
      <c r="B3695" s="33"/>
      <c r="G3695" s="33"/>
    </row>
    <row r="3696" spans="1:7" ht="15.75">
      <c r="A3696" s="33"/>
      <c r="B3696" s="33"/>
      <c r="G3696" s="33"/>
    </row>
    <row r="3697" spans="1:7" ht="15.75">
      <c r="A3697" s="33"/>
      <c r="B3697" s="33"/>
      <c r="G3697" s="33"/>
    </row>
    <row r="3698" spans="1:7" ht="15.75">
      <c r="A3698" s="33"/>
      <c r="B3698" s="33"/>
      <c r="G3698" s="33"/>
    </row>
    <row r="3699" spans="1:7" ht="15.75">
      <c r="A3699" s="33"/>
      <c r="B3699" s="33"/>
      <c r="G3699" s="33"/>
    </row>
    <row r="3700" spans="1:7" ht="15.75">
      <c r="A3700" s="33"/>
      <c r="B3700" s="33"/>
      <c r="G3700" s="33"/>
    </row>
    <row r="3701" spans="1:7" ht="15.75">
      <c r="A3701" s="33"/>
      <c r="B3701" s="33"/>
      <c r="G3701" s="33"/>
    </row>
    <row r="3702" spans="1:7" ht="15.75">
      <c r="A3702" s="33"/>
      <c r="B3702" s="33"/>
      <c r="G3702" s="33"/>
    </row>
    <row r="3703" spans="1:7" ht="15.75">
      <c r="A3703" s="33"/>
      <c r="B3703" s="33"/>
      <c r="G3703" s="33"/>
    </row>
    <row r="3704" spans="1:7" ht="15.75">
      <c r="A3704" s="33"/>
      <c r="B3704" s="33"/>
      <c r="G3704" s="33"/>
    </row>
    <row r="3705" spans="1:7" ht="15.75">
      <c r="A3705" s="33"/>
      <c r="B3705" s="33"/>
      <c r="G3705" s="33"/>
    </row>
    <row r="3706" spans="1:7" ht="15.75">
      <c r="A3706" s="33"/>
      <c r="B3706" s="33"/>
      <c r="G3706" s="33"/>
    </row>
    <row r="3707" spans="1:7" ht="15.75">
      <c r="A3707" s="33"/>
      <c r="B3707" s="33"/>
      <c r="G3707" s="33"/>
    </row>
    <row r="3708" spans="1:7" ht="15.75">
      <c r="A3708" s="33"/>
      <c r="B3708" s="33"/>
      <c r="G3708" s="33"/>
    </row>
    <row r="3709" spans="1:7" ht="15.75">
      <c r="A3709" s="33"/>
      <c r="B3709" s="33"/>
      <c r="G3709" s="33"/>
    </row>
    <row r="3710" spans="1:7" ht="15.75">
      <c r="A3710" s="33"/>
      <c r="B3710" s="33"/>
      <c r="G3710" s="33"/>
    </row>
    <row r="3711" spans="1:7" ht="15.75">
      <c r="A3711" s="33"/>
      <c r="B3711" s="33"/>
      <c r="G3711" s="33"/>
    </row>
    <row r="3712" spans="1:7" ht="15.75">
      <c r="A3712" s="33"/>
      <c r="B3712" s="33"/>
      <c r="G3712" s="33"/>
    </row>
    <row r="3713" spans="1:7" ht="15.75">
      <c r="A3713" s="33"/>
      <c r="B3713" s="33"/>
      <c r="G3713" s="33"/>
    </row>
    <row r="3714" spans="1:7" ht="15.75">
      <c r="A3714" s="33"/>
      <c r="B3714" s="33"/>
      <c r="G3714" s="33"/>
    </row>
    <row r="3715" spans="1:7" ht="15.75">
      <c r="A3715" s="33"/>
      <c r="B3715" s="33"/>
      <c r="G3715" s="33"/>
    </row>
    <row r="3716" spans="1:7" ht="15.75">
      <c r="A3716" s="33"/>
      <c r="B3716" s="33"/>
      <c r="G3716" s="33"/>
    </row>
    <row r="3717" spans="1:7" ht="15.75">
      <c r="A3717" s="33"/>
      <c r="B3717" s="33"/>
      <c r="G3717" s="33"/>
    </row>
    <row r="3718" spans="1:7" ht="15.75">
      <c r="A3718" s="33"/>
      <c r="B3718" s="33"/>
      <c r="G3718" s="33"/>
    </row>
    <row r="3719" spans="1:7" ht="15.75">
      <c r="A3719" s="33"/>
      <c r="B3719" s="33"/>
      <c r="G3719" s="33"/>
    </row>
    <row r="3720" spans="1:7" ht="15.75">
      <c r="A3720" s="33"/>
      <c r="B3720" s="33"/>
      <c r="G3720" s="33"/>
    </row>
    <row r="3721" spans="1:7" ht="15.75">
      <c r="A3721" s="33"/>
      <c r="B3721" s="33"/>
      <c r="G3721" s="33"/>
    </row>
    <row r="3722" spans="1:7" ht="15.75">
      <c r="A3722" s="33"/>
      <c r="B3722" s="33"/>
      <c r="G3722" s="33"/>
    </row>
    <row r="3723" spans="1:7" ht="15.75">
      <c r="A3723" s="33"/>
      <c r="B3723" s="33"/>
      <c r="G3723" s="33"/>
    </row>
    <row r="3724" spans="1:7" ht="15.75">
      <c r="A3724" s="33"/>
      <c r="B3724" s="33"/>
      <c r="G3724" s="33"/>
    </row>
    <row r="3725" spans="1:7" ht="15.75">
      <c r="A3725" s="33"/>
      <c r="B3725" s="33"/>
      <c r="G3725" s="33"/>
    </row>
    <row r="3726" spans="1:7" ht="15.75">
      <c r="A3726" s="33"/>
      <c r="B3726" s="33"/>
      <c r="G3726" s="33"/>
    </row>
    <row r="3727" spans="1:7" ht="15.75">
      <c r="A3727" s="33"/>
      <c r="B3727" s="33"/>
      <c r="G3727" s="33"/>
    </row>
    <row r="3728" spans="1:7" ht="15.75">
      <c r="A3728" s="33"/>
      <c r="B3728" s="33"/>
      <c r="G3728" s="33"/>
    </row>
    <row r="3729" spans="1:7" ht="15.75">
      <c r="A3729" s="33"/>
      <c r="B3729" s="33"/>
      <c r="G3729" s="33"/>
    </row>
    <row r="3730" spans="1:7" ht="15.75">
      <c r="A3730" s="33"/>
      <c r="B3730" s="33"/>
      <c r="G3730" s="33"/>
    </row>
    <row r="3731" spans="1:7" ht="15.75">
      <c r="A3731" s="33"/>
      <c r="B3731" s="33"/>
      <c r="G3731" s="33"/>
    </row>
    <row r="3732" spans="1:7" ht="15.75">
      <c r="A3732" s="33"/>
      <c r="B3732" s="33"/>
      <c r="G3732" s="33"/>
    </row>
    <row r="3733" spans="1:7" ht="15.75">
      <c r="A3733" s="33"/>
      <c r="B3733" s="33"/>
      <c r="G3733" s="33"/>
    </row>
    <row r="3734" spans="1:7" ht="15.75">
      <c r="A3734" s="33"/>
      <c r="B3734" s="33"/>
      <c r="G3734" s="33"/>
    </row>
    <row r="3735" spans="1:7" ht="15.75">
      <c r="A3735" s="33"/>
      <c r="B3735" s="33"/>
      <c r="G3735" s="33"/>
    </row>
    <row r="3736" spans="1:7" ht="15.75">
      <c r="A3736" s="33"/>
      <c r="B3736" s="33"/>
      <c r="G3736" s="33"/>
    </row>
    <row r="3737" spans="1:7" ht="15.75">
      <c r="A3737" s="33"/>
      <c r="B3737" s="33"/>
      <c r="G3737" s="33"/>
    </row>
    <row r="3738" spans="1:7" ht="15.75">
      <c r="A3738" s="33"/>
      <c r="B3738" s="33"/>
      <c r="G3738" s="33"/>
    </row>
    <row r="3739" spans="1:7" ht="15.75">
      <c r="A3739" s="33"/>
      <c r="B3739" s="33"/>
      <c r="G3739" s="33"/>
    </row>
    <row r="3740" spans="1:7" ht="15.75">
      <c r="A3740" s="33"/>
      <c r="B3740" s="33"/>
      <c r="G3740" s="33"/>
    </row>
    <row r="3741" spans="1:7" ht="15.75">
      <c r="A3741" s="33"/>
      <c r="B3741" s="33"/>
      <c r="G3741" s="33"/>
    </row>
    <row r="3742" spans="1:7" ht="15.75">
      <c r="A3742" s="33"/>
      <c r="B3742" s="33"/>
      <c r="G3742" s="33"/>
    </row>
    <row r="3743" spans="1:7" ht="15.75">
      <c r="A3743" s="33"/>
      <c r="B3743" s="33"/>
      <c r="G3743" s="33"/>
    </row>
    <row r="3744" spans="1:7" ht="15.75">
      <c r="A3744" s="33"/>
      <c r="B3744" s="33"/>
      <c r="G3744" s="33"/>
    </row>
    <row r="3745" spans="1:7" ht="15.75">
      <c r="A3745" s="33"/>
      <c r="B3745" s="33"/>
      <c r="G3745" s="33"/>
    </row>
    <row r="3746" spans="1:7" ht="15.75">
      <c r="A3746" s="33"/>
      <c r="B3746" s="33"/>
      <c r="G3746" s="33"/>
    </row>
    <row r="3747" spans="1:7" ht="15.75">
      <c r="A3747" s="33"/>
      <c r="B3747" s="33"/>
      <c r="G3747" s="33"/>
    </row>
    <row r="3748" spans="1:7" ht="15.75">
      <c r="A3748" s="33"/>
      <c r="B3748" s="33"/>
      <c r="G3748" s="33"/>
    </row>
    <row r="3749" spans="1:7" ht="15.75">
      <c r="A3749" s="33"/>
      <c r="B3749" s="33"/>
      <c r="G3749" s="33"/>
    </row>
    <row r="3750" spans="1:7" ht="15.75">
      <c r="A3750" s="33"/>
      <c r="B3750" s="33"/>
      <c r="G3750" s="33"/>
    </row>
    <row r="3751" spans="1:7" ht="15.75">
      <c r="A3751" s="33"/>
      <c r="B3751" s="33"/>
      <c r="G3751" s="33"/>
    </row>
    <row r="3752" spans="1:7" ht="15.75">
      <c r="A3752" s="33"/>
      <c r="B3752" s="33"/>
      <c r="G3752" s="33"/>
    </row>
    <row r="3753" spans="1:7" ht="15.75">
      <c r="A3753" s="33"/>
      <c r="B3753" s="33"/>
      <c r="G3753" s="33"/>
    </row>
    <row r="3754" spans="1:7" ht="15.75">
      <c r="A3754" s="33"/>
      <c r="B3754" s="33"/>
      <c r="G3754" s="33"/>
    </row>
    <row r="3755" spans="1:7" ht="15.75">
      <c r="A3755" s="33"/>
      <c r="B3755" s="33"/>
      <c r="G3755" s="33"/>
    </row>
    <row r="3756" spans="1:7" ht="15.75">
      <c r="A3756" s="33"/>
      <c r="B3756" s="33"/>
      <c r="G3756" s="33"/>
    </row>
    <row r="3757" spans="1:7" ht="15.75">
      <c r="A3757" s="33"/>
      <c r="B3757" s="33"/>
      <c r="G3757" s="33"/>
    </row>
    <row r="3758" spans="1:7" ht="15.75">
      <c r="A3758" s="33"/>
      <c r="B3758" s="33"/>
      <c r="G3758" s="33"/>
    </row>
    <row r="3759" spans="1:7" ht="15.75">
      <c r="A3759" s="33"/>
      <c r="B3759" s="33"/>
      <c r="G3759" s="33"/>
    </row>
    <row r="3760" spans="1:7" ht="15.75">
      <c r="A3760" s="33"/>
      <c r="B3760" s="33"/>
      <c r="G3760" s="33"/>
    </row>
    <row r="3761" spans="1:7" ht="15.75">
      <c r="A3761" s="33"/>
      <c r="B3761" s="33"/>
      <c r="G3761" s="33"/>
    </row>
    <row r="3762" spans="1:7" ht="15.75">
      <c r="A3762" s="33"/>
      <c r="B3762" s="33"/>
      <c r="G3762" s="33"/>
    </row>
    <row r="3763" spans="1:7" ht="15.75">
      <c r="A3763" s="33"/>
      <c r="B3763" s="33"/>
      <c r="G3763" s="33"/>
    </row>
    <row r="3764" spans="1:7" ht="15.75">
      <c r="A3764" s="33"/>
      <c r="B3764" s="33"/>
      <c r="G3764" s="33"/>
    </row>
    <row r="3765" spans="1:7" ht="15.75">
      <c r="A3765" s="33"/>
      <c r="B3765" s="33"/>
      <c r="G3765" s="33"/>
    </row>
    <row r="3766" spans="1:7" ht="15.75">
      <c r="A3766" s="33"/>
      <c r="B3766" s="33"/>
      <c r="G3766" s="33"/>
    </row>
    <row r="3767" spans="1:7" ht="15.75">
      <c r="A3767" s="33"/>
      <c r="B3767" s="33"/>
      <c r="G3767" s="33"/>
    </row>
    <row r="3768" spans="1:7" ht="15.75">
      <c r="A3768" s="33"/>
      <c r="B3768" s="33"/>
      <c r="G3768" s="33"/>
    </row>
    <row r="3769" spans="1:7" ht="15.75">
      <c r="A3769" s="33"/>
      <c r="B3769" s="33"/>
      <c r="G3769" s="33"/>
    </row>
    <row r="3770" spans="1:7" ht="15.75">
      <c r="A3770" s="33"/>
      <c r="B3770" s="33"/>
      <c r="G3770" s="33"/>
    </row>
    <row r="3771" spans="1:7" ht="15.75">
      <c r="A3771" s="33"/>
      <c r="B3771" s="33"/>
      <c r="G3771" s="33"/>
    </row>
    <row r="3772" spans="1:7" ht="15.75">
      <c r="A3772" s="33"/>
      <c r="B3772" s="33"/>
      <c r="G3772" s="33"/>
    </row>
    <row r="3773" spans="1:7" ht="15.75">
      <c r="A3773" s="33"/>
      <c r="B3773" s="33"/>
      <c r="G3773" s="33"/>
    </row>
    <row r="3774" spans="1:7" ht="15.75">
      <c r="A3774" s="33"/>
      <c r="B3774" s="33"/>
      <c r="G3774" s="33"/>
    </row>
    <row r="3775" spans="1:7" ht="15.75">
      <c r="A3775" s="33"/>
      <c r="B3775" s="33"/>
      <c r="G3775" s="33"/>
    </row>
    <row r="3776" spans="1:7" ht="15.75">
      <c r="A3776" s="33"/>
      <c r="B3776" s="33"/>
      <c r="G3776" s="33"/>
    </row>
    <row r="3777" spans="1:7" ht="15.75">
      <c r="A3777" s="33"/>
      <c r="B3777" s="33"/>
      <c r="G3777" s="33"/>
    </row>
    <row r="3778" spans="1:7" ht="15.75">
      <c r="A3778" s="33"/>
      <c r="B3778" s="33"/>
      <c r="G3778" s="33"/>
    </row>
    <row r="3779" spans="1:7" ht="15.75">
      <c r="A3779" s="33"/>
      <c r="B3779" s="33"/>
      <c r="G3779" s="33"/>
    </row>
    <row r="3780" spans="1:7" ht="15.75">
      <c r="A3780" s="33"/>
      <c r="B3780" s="33"/>
      <c r="G3780" s="33"/>
    </row>
    <row r="3781" spans="1:7" ht="15.75">
      <c r="A3781" s="33"/>
      <c r="B3781" s="33"/>
      <c r="G3781" s="33"/>
    </row>
    <row r="3782" spans="1:7" ht="15.75">
      <c r="A3782" s="33"/>
      <c r="B3782" s="33"/>
      <c r="G3782" s="33"/>
    </row>
    <row r="3783" spans="1:7" ht="15.75">
      <c r="A3783" s="33"/>
      <c r="B3783" s="33"/>
      <c r="G3783" s="33"/>
    </row>
    <row r="3784" spans="1:7" ht="15.75">
      <c r="A3784" s="33"/>
      <c r="B3784" s="33"/>
      <c r="G3784" s="33"/>
    </row>
    <row r="3785" spans="1:7" ht="15.75">
      <c r="A3785" s="33"/>
      <c r="B3785" s="33"/>
      <c r="G3785" s="33"/>
    </row>
    <row r="3786" spans="1:7" ht="15.75">
      <c r="A3786" s="33"/>
      <c r="B3786" s="33"/>
      <c r="G3786" s="33"/>
    </row>
    <row r="3787" spans="1:7" ht="15.75">
      <c r="A3787" s="33"/>
      <c r="B3787" s="33"/>
      <c r="G3787" s="33"/>
    </row>
    <row r="3788" spans="1:7" ht="15.75">
      <c r="A3788" s="33"/>
      <c r="B3788" s="33"/>
      <c r="G3788" s="33"/>
    </row>
    <row r="3789" spans="1:7" ht="15.75">
      <c r="A3789" s="33"/>
      <c r="B3789" s="33"/>
      <c r="G3789" s="33"/>
    </row>
    <row r="3790" spans="1:7" ht="15.75">
      <c r="A3790" s="33"/>
      <c r="B3790" s="33"/>
      <c r="G3790" s="33"/>
    </row>
    <row r="3791" spans="1:7" ht="15.75">
      <c r="A3791" s="33"/>
      <c r="B3791" s="33"/>
      <c r="G3791" s="33"/>
    </row>
    <row r="3792" spans="1:7" ht="15.75">
      <c r="A3792" s="33"/>
      <c r="B3792" s="33"/>
      <c r="G3792" s="33"/>
    </row>
    <row r="3793" spans="1:7" ht="15.75">
      <c r="A3793" s="33"/>
      <c r="B3793" s="33"/>
      <c r="G3793" s="33"/>
    </row>
    <row r="3794" spans="1:7" ht="15.75">
      <c r="A3794" s="33"/>
      <c r="B3794" s="33"/>
      <c r="G3794" s="33"/>
    </row>
    <row r="3795" spans="1:7" ht="15.75">
      <c r="A3795" s="33"/>
      <c r="B3795" s="33"/>
      <c r="G3795" s="33"/>
    </row>
    <row r="3796" spans="1:7" ht="15.75">
      <c r="A3796" s="33"/>
      <c r="B3796" s="33"/>
      <c r="G3796" s="33"/>
    </row>
    <row r="3797" spans="1:7" ht="15.75">
      <c r="A3797" s="33"/>
      <c r="B3797" s="33"/>
      <c r="G3797" s="33"/>
    </row>
    <row r="3798" spans="1:7" ht="15.75">
      <c r="A3798" s="33"/>
      <c r="B3798" s="33"/>
      <c r="G3798" s="33"/>
    </row>
    <row r="3799" spans="1:7" ht="15.75">
      <c r="A3799" s="33"/>
      <c r="B3799" s="33"/>
      <c r="G3799" s="33"/>
    </row>
    <row r="3800" spans="1:7" ht="15.75">
      <c r="A3800" s="33"/>
      <c r="B3800" s="33"/>
      <c r="G3800" s="33"/>
    </row>
    <row r="3801" spans="1:7" ht="15.75">
      <c r="A3801" s="33"/>
      <c r="B3801" s="33"/>
      <c r="G3801" s="33"/>
    </row>
    <row r="3802" spans="1:7" ht="15.75">
      <c r="A3802" s="33"/>
      <c r="B3802" s="33"/>
      <c r="G3802" s="33"/>
    </row>
    <row r="3803" spans="1:7" ht="15.75">
      <c r="A3803" s="33"/>
      <c r="B3803" s="33"/>
      <c r="G3803" s="33"/>
    </row>
    <row r="3804" spans="1:7" ht="15.75">
      <c r="A3804" s="33"/>
      <c r="B3804" s="33"/>
      <c r="G3804" s="33"/>
    </row>
    <row r="3805" spans="1:7" ht="15.75">
      <c r="A3805" s="33"/>
      <c r="B3805" s="33"/>
      <c r="G3805" s="33"/>
    </row>
    <row r="3806" spans="1:7" ht="15.75">
      <c r="A3806" s="33"/>
      <c r="B3806" s="33"/>
      <c r="G3806" s="33"/>
    </row>
    <row r="3807" spans="1:7" ht="15.75">
      <c r="A3807" s="33"/>
      <c r="B3807" s="33"/>
      <c r="G3807" s="33"/>
    </row>
    <row r="3808" spans="1:7" ht="15.75">
      <c r="A3808" s="33"/>
      <c r="B3808" s="33"/>
      <c r="G3808" s="33"/>
    </row>
    <row r="3809" spans="1:7" ht="15.75">
      <c r="A3809" s="33"/>
      <c r="B3809" s="33"/>
      <c r="G3809" s="33"/>
    </row>
    <row r="3810" spans="1:7" ht="15.75">
      <c r="A3810" s="33"/>
      <c r="B3810" s="33"/>
      <c r="G3810" s="33"/>
    </row>
    <row r="3811" spans="1:7" ht="15.75">
      <c r="A3811" s="33"/>
      <c r="B3811" s="33"/>
      <c r="G3811" s="33"/>
    </row>
    <row r="3812" spans="1:7" ht="15.75">
      <c r="A3812" s="33"/>
      <c r="B3812" s="33"/>
      <c r="G3812" s="33"/>
    </row>
    <row r="3813" spans="1:7" ht="15.75">
      <c r="A3813" s="33"/>
      <c r="B3813" s="33"/>
      <c r="G3813" s="33"/>
    </row>
    <row r="3814" spans="1:7" ht="15.75">
      <c r="A3814" s="33"/>
      <c r="B3814" s="33"/>
      <c r="G3814" s="33"/>
    </row>
    <row r="3815" spans="1:7" ht="15.75">
      <c r="A3815" s="33"/>
      <c r="B3815" s="33"/>
      <c r="G3815" s="33"/>
    </row>
    <row r="3816" spans="1:7" ht="15.75">
      <c r="A3816" s="33"/>
      <c r="B3816" s="33"/>
      <c r="G3816" s="33"/>
    </row>
    <row r="3817" spans="1:7" ht="15.75">
      <c r="A3817" s="33"/>
      <c r="B3817" s="33"/>
      <c r="G3817" s="33"/>
    </row>
    <row r="3818" spans="1:7" ht="15.75">
      <c r="A3818" s="33"/>
      <c r="B3818" s="33"/>
      <c r="G3818" s="33"/>
    </row>
    <row r="3819" spans="1:7" ht="15.75">
      <c r="A3819" s="33"/>
      <c r="B3819" s="33"/>
      <c r="G3819" s="33"/>
    </row>
    <row r="3820" spans="1:7" ht="15.75">
      <c r="A3820" s="33"/>
      <c r="B3820" s="33"/>
      <c r="G3820" s="33"/>
    </row>
    <row r="3821" spans="1:7" ht="15.75">
      <c r="A3821" s="33"/>
      <c r="B3821" s="33"/>
      <c r="G3821" s="33"/>
    </row>
    <row r="3822" spans="1:7" ht="15.75">
      <c r="A3822" s="33"/>
      <c r="B3822" s="33"/>
      <c r="G3822" s="33"/>
    </row>
    <row r="3823" spans="1:7" ht="15.75">
      <c r="A3823" s="33"/>
      <c r="B3823" s="33"/>
      <c r="G3823" s="33"/>
    </row>
    <row r="3824" spans="1:7" ht="15.75">
      <c r="A3824" s="33"/>
      <c r="B3824" s="33"/>
      <c r="G3824" s="33"/>
    </row>
    <row r="3825" spans="1:7" ht="15.75">
      <c r="A3825" s="33"/>
      <c r="B3825" s="33"/>
      <c r="G3825" s="33"/>
    </row>
    <row r="3826" spans="1:7" ht="15.75">
      <c r="A3826" s="33"/>
      <c r="B3826" s="33"/>
      <c r="G3826" s="33"/>
    </row>
    <row r="3827" spans="1:7" ht="15.75">
      <c r="A3827" s="33"/>
      <c r="B3827" s="33"/>
      <c r="G3827" s="33"/>
    </row>
    <row r="3828" spans="1:7" ht="15.75">
      <c r="A3828" s="33"/>
      <c r="B3828" s="33"/>
      <c r="G3828" s="33"/>
    </row>
    <row r="3829" spans="1:7" ht="15.75">
      <c r="A3829" s="33"/>
      <c r="B3829" s="33"/>
      <c r="G3829" s="33"/>
    </row>
    <row r="3830" spans="1:7" ht="15.75">
      <c r="A3830" s="33"/>
      <c r="B3830" s="33"/>
      <c r="G3830" s="33"/>
    </row>
    <row r="3831" spans="1:7" ht="15.75">
      <c r="A3831" s="33"/>
      <c r="B3831" s="33"/>
      <c r="G3831" s="33"/>
    </row>
    <row r="3832" spans="1:7" ht="15.75">
      <c r="A3832" s="33"/>
      <c r="B3832" s="33"/>
      <c r="G3832" s="33"/>
    </row>
    <row r="3833" spans="1:7" ht="15.75">
      <c r="A3833" s="33"/>
      <c r="B3833" s="33"/>
      <c r="G3833" s="33"/>
    </row>
    <row r="3834" spans="1:7" ht="15.75">
      <c r="A3834" s="33"/>
      <c r="B3834" s="33"/>
      <c r="G3834" s="33"/>
    </row>
    <row r="3835" spans="1:7" ht="15.75">
      <c r="A3835" s="33"/>
      <c r="B3835" s="33"/>
      <c r="G3835" s="33"/>
    </row>
    <row r="3836" spans="1:7" ht="15.75">
      <c r="A3836" s="33"/>
      <c r="B3836" s="33"/>
      <c r="G3836" s="33"/>
    </row>
    <row r="3837" spans="1:7" ht="15.75">
      <c r="A3837" s="33"/>
      <c r="B3837" s="33"/>
      <c r="G3837" s="33"/>
    </row>
    <row r="3838" spans="1:7" ht="15.75">
      <c r="A3838" s="33"/>
      <c r="B3838" s="33"/>
      <c r="G3838" s="33"/>
    </row>
    <row r="3839" spans="1:7" ht="15.75">
      <c r="A3839" s="33"/>
      <c r="B3839" s="33"/>
      <c r="G3839" s="33"/>
    </row>
    <row r="3840" spans="1:7" ht="15.75">
      <c r="A3840" s="33"/>
      <c r="B3840" s="33"/>
      <c r="G3840" s="33"/>
    </row>
    <row r="3841" spans="1:7" ht="15.75">
      <c r="A3841" s="33"/>
      <c r="B3841" s="33"/>
      <c r="G3841" s="33"/>
    </row>
    <row r="3842" spans="1:7" ht="15.75">
      <c r="A3842" s="33"/>
      <c r="B3842" s="33"/>
      <c r="G3842" s="33"/>
    </row>
    <row r="3843" spans="1:7" ht="15.75">
      <c r="A3843" s="33"/>
      <c r="B3843" s="33"/>
      <c r="G3843" s="33"/>
    </row>
    <row r="3844" spans="1:7" ht="15.75">
      <c r="A3844" s="33"/>
      <c r="B3844" s="33"/>
      <c r="G3844" s="33"/>
    </row>
    <row r="3845" spans="1:7" ht="15.75">
      <c r="A3845" s="33"/>
      <c r="B3845" s="33"/>
      <c r="G3845" s="33"/>
    </row>
    <row r="3846" spans="1:7" ht="15.75">
      <c r="A3846" s="33"/>
      <c r="B3846" s="33"/>
      <c r="G3846" s="33"/>
    </row>
    <row r="3847" spans="1:7" ht="15.75">
      <c r="A3847" s="33"/>
      <c r="B3847" s="33"/>
      <c r="G3847" s="33"/>
    </row>
    <row r="3848" spans="1:7" ht="15.75">
      <c r="A3848" s="33"/>
      <c r="B3848" s="33"/>
      <c r="G3848" s="33"/>
    </row>
    <row r="3849" spans="1:7" ht="15.75">
      <c r="A3849" s="33"/>
      <c r="B3849" s="33"/>
      <c r="G3849" s="33"/>
    </row>
    <row r="3850" spans="1:7" ht="15.75">
      <c r="A3850" s="33"/>
      <c r="B3850" s="33"/>
      <c r="G3850" s="33"/>
    </row>
    <row r="3851" spans="1:7" ht="15.75">
      <c r="A3851" s="33"/>
      <c r="B3851" s="33"/>
      <c r="G3851" s="33"/>
    </row>
    <row r="3852" spans="1:7" ht="15.75">
      <c r="A3852" s="33"/>
      <c r="B3852" s="33"/>
      <c r="G3852" s="33"/>
    </row>
    <row r="3853" spans="1:7" ht="15.75">
      <c r="A3853" s="33"/>
      <c r="B3853" s="33"/>
      <c r="G3853" s="33"/>
    </row>
    <row r="3854" spans="1:7" ht="15.75">
      <c r="A3854" s="33"/>
      <c r="B3854" s="33"/>
      <c r="G3854" s="33"/>
    </row>
    <row r="3855" spans="1:7" ht="15.75">
      <c r="A3855" s="33"/>
      <c r="B3855" s="33"/>
      <c r="G3855" s="33"/>
    </row>
    <row r="3856" spans="1:7" ht="15.75">
      <c r="A3856" s="33"/>
      <c r="B3856" s="33"/>
      <c r="G3856" s="33"/>
    </row>
    <row r="3857" spans="1:7" ht="15.75">
      <c r="A3857" s="33"/>
      <c r="B3857" s="33"/>
      <c r="G3857" s="33"/>
    </row>
    <row r="3858" spans="1:7" ht="15.75">
      <c r="A3858" s="33"/>
      <c r="B3858" s="33"/>
      <c r="G3858" s="33"/>
    </row>
    <row r="3859" spans="1:7" ht="15.75">
      <c r="A3859" s="33"/>
      <c r="B3859" s="33"/>
      <c r="G3859" s="33"/>
    </row>
    <row r="3860" spans="1:7" ht="15.75">
      <c r="A3860" s="33"/>
      <c r="B3860" s="33"/>
      <c r="G3860" s="33"/>
    </row>
    <row r="3861" spans="1:7" ht="15.75">
      <c r="A3861" s="33"/>
      <c r="B3861" s="33"/>
      <c r="G3861" s="33"/>
    </row>
    <row r="3862" spans="1:7" ht="15.75">
      <c r="A3862" s="33"/>
      <c r="B3862" s="33"/>
      <c r="G3862" s="33"/>
    </row>
    <row r="3863" spans="1:7" ht="15.75">
      <c r="A3863" s="33"/>
      <c r="B3863" s="33"/>
      <c r="G3863" s="33"/>
    </row>
    <row r="3864" spans="1:7" ht="15.75">
      <c r="A3864" s="33"/>
      <c r="B3864" s="33"/>
      <c r="G3864" s="33"/>
    </row>
    <row r="3865" spans="1:7" ht="15.75">
      <c r="A3865" s="33"/>
      <c r="B3865" s="33"/>
      <c r="G3865" s="33"/>
    </row>
    <row r="3866" spans="1:7" ht="15.75">
      <c r="A3866" s="33"/>
      <c r="B3866" s="33"/>
      <c r="G3866" s="33"/>
    </row>
    <row r="3867" spans="1:7" ht="15.75">
      <c r="A3867" s="33"/>
      <c r="B3867" s="33"/>
      <c r="G3867" s="33"/>
    </row>
    <row r="3868" spans="1:7" ht="15.75">
      <c r="A3868" s="33"/>
      <c r="B3868" s="33"/>
      <c r="G3868" s="33"/>
    </row>
    <row r="3869" spans="1:7" ht="15.75">
      <c r="A3869" s="33"/>
      <c r="B3869" s="33"/>
      <c r="G3869" s="33"/>
    </row>
    <row r="3870" spans="1:7" ht="15.75">
      <c r="A3870" s="33"/>
      <c r="B3870" s="33"/>
      <c r="G3870" s="33"/>
    </row>
    <row r="3871" spans="1:7" ht="15.75">
      <c r="A3871" s="33"/>
      <c r="B3871" s="33"/>
      <c r="G3871" s="33"/>
    </row>
    <row r="3872" spans="1:7" ht="15.75">
      <c r="A3872" s="33"/>
      <c r="B3872" s="33"/>
      <c r="G3872" s="33"/>
    </row>
    <row r="3873" spans="1:7" ht="15.75">
      <c r="A3873" s="33"/>
      <c r="B3873" s="33"/>
      <c r="G3873" s="33"/>
    </row>
    <row r="3874" spans="1:7" ht="15.75">
      <c r="A3874" s="33"/>
      <c r="B3874" s="33"/>
      <c r="G3874" s="33"/>
    </row>
    <row r="3875" spans="1:7" ht="15.75">
      <c r="A3875" s="33"/>
      <c r="B3875" s="33"/>
      <c r="G3875" s="33"/>
    </row>
    <row r="3876" spans="1:7" ht="15.75">
      <c r="A3876" s="33"/>
      <c r="B3876" s="33"/>
      <c r="G3876" s="33"/>
    </row>
    <row r="3877" spans="1:7" ht="15.75">
      <c r="A3877" s="33"/>
      <c r="B3877" s="33"/>
      <c r="G3877" s="33"/>
    </row>
    <row r="3878" spans="1:7" ht="15.75">
      <c r="A3878" s="33"/>
      <c r="B3878" s="33"/>
      <c r="G3878" s="33"/>
    </row>
    <row r="3879" spans="1:7" ht="15.75">
      <c r="A3879" s="33"/>
      <c r="B3879" s="33"/>
      <c r="G3879" s="33"/>
    </row>
    <row r="3880" spans="1:7" ht="15.75">
      <c r="A3880" s="33"/>
      <c r="B3880" s="33"/>
      <c r="G3880" s="33"/>
    </row>
    <row r="3881" spans="1:7" ht="15.75">
      <c r="A3881" s="33"/>
      <c r="B3881" s="33"/>
      <c r="G3881" s="33"/>
    </row>
    <row r="3882" spans="1:7" ht="15.75">
      <c r="A3882" s="33"/>
      <c r="B3882" s="33"/>
      <c r="G3882" s="33"/>
    </row>
    <row r="3883" spans="1:7" ht="15.75">
      <c r="A3883" s="33"/>
      <c r="B3883" s="33"/>
      <c r="G3883" s="33"/>
    </row>
    <row r="3884" spans="1:7" ht="15.75">
      <c r="A3884" s="33"/>
      <c r="B3884" s="33"/>
      <c r="G3884" s="33"/>
    </row>
    <row r="3885" spans="1:7" ht="15.75">
      <c r="A3885" s="33"/>
      <c r="B3885" s="33"/>
      <c r="G3885" s="33"/>
    </row>
    <row r="3886" spans="1:7" ht="15.75">
      <c r="A3886" s="33"/>
      <c r="B3886" s="33"/>
      <c r="G3886" s="33"/>
    </row>
    <row r="3887" spans="1:7" ht="15.75">
      <c r="A3887" s="33"/>
      <c r="B3887" s="33"/>
      <c r="G3887" s="33"/>
    </row>
    <row r="3888" spans="1:7" ht="15.75">
      <c r="A3888" s="33"/>
      <c r="B3888" s="33"/>
      <c r="G3888" s="33"/>
    </row>
    <row r="3889" spans="1:7" ht="15.75">
      <c r="A3889" s="33"/>
      <c r="B3889" s="33"/>
      <c r="G3889" s="33"/>
    </row>
    <row r="3890" spans="1:7" ht="15.75">
      <c r="A3890" s="33"/>
      <c r="B3890" s="33"/>
      <c r="G3890" s="33"/>
    </row>
    <row r="3891" spans="1:7" ht="15.75">
      <c r="A3891" s="33"/>
      <c r="B3891" s="33"/>
      <c r="G3891" s="33"/>
    </row>
    <row r="3892" spans="1:7" ht="15.75">
      <c r="A3892" s="33"/>
      <c r="B3892" s="33"/>
      <c r="G3892" s="33"/>
    </row>
    <row r="3893" spans="1:7" ht="15.75">
      <c r="A3893" s="33"/>
      <c r="B3893" s="33"/>
      <c r="G3893" s="33"/>
    </row>
    <row r="3894" spans="1:7" ht="15.75">
      <c r="A3894" s="33"/>
      <c r="B3894" s="33"/>
      <c r="G3894" s="33"/>
    </row>
    <row r="3895" spans="1:7" ht="15.75">
      <c r="A3895" s="33"/>
      <c r="B3895" s="33"/>
      <c r="G3895" s="33"/>
    </row>
    <row r="3896" spans="1:7" ht="15.75">
      <c r="A3896" s="33"/>
      <c r="B3896" s="33"/>
      <c r="G3896" s="33"/>
    </row>
    <row r="3897" spans="1:7" ht="15.75">
      <c r="A3897" s="33"/>
      <c r="B3897" s="33"/>
      <c r="G3897" s="33"/>
    </row>
    <row r="3898" spans="1:7" ht="15.75">
      <c r="A3898" s="33"/>
      <c r="B3898" s="33"/>
      <c r="G3898" s="33"/>
    </row>
    <row r="3899" spans="1:7" ht="15.75">
      <c r="A3899" s="33"/>
      <c r="B3899" s="33"/>
      <c r="G3899" s="33"/>
    </row>
    <row r="3900" spans="1:7" ht="15.75">
      <c r="A3900" s="33"/>
      <c r="B3900" s="33"/>
      <c r="G3900" s="33"/>
    </row>
    <row r="3901" spans="1:7" ht="15.75">
      <c r="A3901" s="33"/>
      <c r="B3901" s="33"/>
      <c r="G3901" s="33"/>
    </row>
    <row r="3902" spans="1:7" ht="15.75">
      <c r="A3902" s="33"/>
      <c r="B3902" s="33"/>
      <c r="G3902" s="33"/>
    </row>
    <row r="3903" spans="1:7" ht="15.75">
      <c r="A3903" s="33"/>
      <c r="B3903" s="33"/>
      <c r="G3903" s="33"/>
    </row>
    <row r="3904" spans="1:7" ht="15.75">
      <c r="A3904" s="33"/>
      <c r="B3904" s="33"/>
      <c r="G3904" s="33"/>
    </row>
    <row r="3905" spans="1:7" ht="15.75">
      <c r="A3905" s="33"/>
      <c r="B3905" s="33"/>
      <c r="G3905" s="33"/>
    </row>
    <row r="3906" spans="1:7" ht="15.75">
      <c r="A3906" s="33"/>
      <c r="B3906" s="33"/>
      <c r="G3906" s="33"/>
    </row>
    <row r="3907" spans="1:7" ht="15.75">
      <c r="A3907" s="33"/>
      <c r="B3907" s="33"/>
      <c r="G3907" s="33"/>
    </row>
    <row r="3908" spans="1:7" ht="15.75">
      <c r="A3908" s="33"/>
      <c r="B3908" s="33"/>
      <c r="G3908" s="33"/>
    </row>
    <row r="3909" spans="1:7" ht="15.75">
      <c r="A3909" s="33"/>
      <c r="B3909" s="33"/>
      <c r="G3909" s="33"/>
    </row>
    <row r="3910" spans="1:7" ht="15.75">
      <c r="A3910" s="33"/>
      <c r="B3910" s="33"/>
      <c r="G3910" s="33"/>
    </row>
    <row r="3911" spans="1:7" ht="15.75">
      <c r="A3911" s="33"/>
      <c r="B3911" s="33"/>
      <c r="G3911" s="33"/>
    </row>
    <row r="3912" spans="1:7" ht="15.75">
      <c r="A3912" s="33"/>
      <c r="B3912" s="33"/>
      <c r="G3912" s="33"/>
    </row>
    <row r="3913" spans="1:7" ht="15.75">
      <c r="A3913" s="33"/>
      <c r="B3913" s="33"/>
      <c r="G3913" s="33"/>
    </row>
    <row r="3914" spans="1:7" ht="15.75">
      <c r="A3914" s="33"/>
      <c r="B3914" s="33"/>
      <c r="G3914" s="33"/>
    </row>
    <row r="3915" spans="1:7" ht="15.75">
      <c r="A3915" s="33"/>
      <c r="B3915" s="33"/>
      <c r="G3915" s="33"/>
    </row>
    <row r="3916" spans="1:7" ht="15.75">
      <c r="A3916" s="33"/>
      <c r="B3916" s="33"/>
      <c r="G3916" s="33"/>
    </row>
    <row r="3917" spans="1:7" ht="15.75">
      <c r="A3917" s="33"/>
      <c r="B3917" s="33"/>
      <c r="G3917" s="33"/>
    </row>
    <row r="3918" spans="1:7" ht="15.75">
      <c r="A3918" s="33"/>
      <c r="B3918" s="33"/>
      <c r="G3918" s="33"/>
    </row>
    <row r="3919" spans="1:7" ht="15.75">
      <c r="A3919" s="33"/>
      <c r="B3919" s="33"/>
      <c r="G3919" s="33"/>
    </row>
    <row r="3920" spans="1:7" ht="15.75">
      <c r="A3920" s="33"/>
      <c r="B3920" s="33"/>
      <c r="G3920" s="33"/>
    </row>
    <row r="3921" spans="1:7" ht="15.75">
      <c r="A3921" s="33"/>
      <c r="B3921" s="33"/>
      <c r="G3921" s="33"/>
    </row>
    <row r="3922" spans="1:7" ht="15.75">
      <c r="A3922" s="33"/>
      <c r="B3922" s="33"/>
      <c r="G3922" s="33"/>
    </row>
    <row r="3923" spans="1:7" ht="15.75">
      <c r="A3923" s="33"/>
      <c r="B3923" s="33"/>
      <c r="G3923" s="33"/>
    </row>
    <row r="3924" spans="1:7" ht="15.75">
      <c r="A3924" s="33"/>
      <c r="B3924" s="33"/>
      <c r="G3924" s="33"/>
    </row>
    <row r="3925" spans="1:7" ht="15.75">
      <c r="A3925" s="33"/>
      <c r="B3925" s="33"/>
      <c r="G3925" s="33"/>
    </row>
    <row r="3926" spans="1:7" ht="15.75">
      <c r="A3926" s="33"/>
      <c r="B3926" s="33"/>
      <c r="G3926" s="33"/>
    </row>
    <row r="3927" spans="1:7" ht="15.75">
      <c r="A3927" s="33"/>
      <c r="B3927" s="33"/>
      <c r="G3927" s="33"/>
    </row>
    <row r="3928" spans="1:7" ht="15.75">
      <c r="A3928" s="33"/>
      <c r="B3928" s="33"/>
      <c r="G3928" s="33"/>
    </row>
    <row r="3929" spans="1:7" ht="15.75">
      <c r="A3929" s="33"/>
      <c r="B3929" s="33"/>
      <c r="G3929" s="33"/>
    </row>
    <row r="3930" spans="1:7" ht="15.75">
      <c r="A3930" s="33"/>
      <c r="B3930" s="33"/>
      <c r="G3930" s="33"/>
    </row>
    <row r="3931" spans="1:7" ht="15.75">
      <c r="A3931" s="33"/>
      <c r="B3931" s="33"/>
      <c r="G3931" s="33"/>
    </row>
    <row r="3932" spans="1:7" ht="15.75">
      <c r="A3932" s="33"/>
      <c r="B3932" s="33"/>
      <c r="G3932" s="33"/>
    </row>
    <row r="3933" spans="1:7" ht="15.75">
      <c r="A3933" s="33"/>
      <c r="B3933" s="33"/>
      <c r="G3933" s="33"/>
    </row>
    <row r="3934" spans="1:7" ht="15.75">
      <c r="A3934" s="33"/>
      <c r="B3934" s="33"/>
      <c r="G3934" s="33"/>
    </row>
    <row r="3935" spans="1:7" ht="15.75">
      <c r="A3935" s="33"/>
      <c r="B3935" s="33"/>
      <c r="G3935" s="33"/>
    </row>
    <row r="3936" spans="1:7" ht="15.75">
      <c r="A3936" s="33"/>
      <c r="B3936" s="33"/>
      <c r="G3936" s="33"/>
    </row>
    <row r="3937" spans="1:7" ht="15.75">
      <c r="A3937" s="33"/>
      <c r="B3937" s="33"/>
      <c r="G3937" s="33"/>
    </row>
    <row r="3938" spans="1:7" ht="15.75">
      <c r="A3938" s="33"/>
      <c r="B3938" s="33"/>
      <c r="G3938" s="33"/>
    </row>
    <row r="3939" spans="1:7" ht="15.75">
      <c r="A3939" s="33"/>
      <c r="B3939" s="33"/>
      <c r="G3939" s="33"/>
    </row>
    <row r="3940" spans="1:7" ht="15.75">
      <c r="A3940" s="33"/>
      <c r="B3940" s="33"/>
      <c r="G3940" s="33"/>
    </row>
    <row r="3941" spans="1:7" ht="15.75">
      <c r="A3941" s="33"/>
      <c r="B3941" s="33"/>
      <c r="G3941" s="33"/>
    </row>
    <row r="3942" spans="1:7" ht="15.75">
      <c r="A3942" s="33"/>
      <c r="B3942" s="33"/>
      <c r="G3942" s="33"/>
    </row>
    <row r="3943" spans="1:7" ht="15.75">
      <c r="A3943" s="33"/>
      <c r="B3943" s="33"/>
      <c r="G3943" s="33"/>
    </row>
    <row r="3944" spans="1:7" ht="15.75">
      <c r="A3944" s="33"/>
      <c r="B3944" s="33"/>
      <c r="G3944" s="33"/>
    </row>
    <row r="3945" spans="1:7" ht="15.75">
      <c r="A3945" s="33"/>
      <c r="B3945" s="33"/>
      <c r="G3945" s="33"/>
    </row>
    <row r="3946" spans="1:7" ht="15.75">
      <c r="A3946" s="33"/>
      <c r="B3946" s="33"/>
      <c r="G3946" s="33"/>
    </row>
    <row r="3947" spans="1:7" ht="15.75">
      <c r="A3947" s="33"/>
      <c r="B3947" s="33"/>
      <c r="G3947" s="33"/>
    </row>
    <row r="3948" spans="1:7" ht="15.75">
      <c r="A3948" s="33"/>
      <c r="B3948" s="33"/>
      <c r="G3948" s="33"/>
    </row>
    <row r="3949" spans="1:7" ht="15.75">
      <c r="A3949" s="33"/>
      <c r="B3949" s="33"/>
      <c r="G3949" s="33"/>
    </row>
    <row r="3950" spans="1:7" ht="15.75">
      <c r="A3950" s="33"/>
      <c r="B3950" s="33"/>
      <c r="G3950" s="33"/>
    </row>
    <row r="3951" spans="1:7" ht="15.75">
      <c r="A3951" s="33"/>
      <c r="B3951" s="33"/>
      <c r="G3951" s="33"/>
    </row>
    <row r="3952" spans="1:7" ht="15.75">
      <c r="A3952" s="33"/>
      <c r="B3952" s="33"/>
      <c r="G3952" s="33"/>
    </row>
    <row r="3953" spans="1:7" ht="15.75">
      <c r="A3953" s="33"/>
      <c r="B3953" s="33"/>
      <c r="G3953" s="33"/>
    </row>
    <row r="3954" spans="1:7" ht="15.75">
      <c r="A3954" s="33"/>
      <c r="B3954" s="33"/>
      <c r="G3954" s="33"/>
    </row>
    <row r="3955" spans="1:7" ht="15.75">
      <c r="A3955" s="33"/>
      <c r="B3955" s="33"/>
      <c r="G3955" s="33"/>
    </row>
    <row r="3956" spans="1:7" ht="15.75">
      <c r="A3956" s="33"/>
      <c r="B3956" s="33"/>
      <c r="G3956" s="33"/>
    </row>
    <row r="3957" spans="1:7" ht="15.75">
      <c r="A3957" s="33"/>
      <c r="B3957" s="33"/>
      <c r="G3957" s="33"/>
    </row>
    <row r="3958" spans="1:7" ht="15.75">
      <c r="A3958" s="33"/>
      <c r="B3958" s="33"/>
      <c r="G3958" s="33"/>
    </row>
    <row r="3959" spans="1:7" ht="15.75">
      <c r="A3959" s="33"/>
      <c r="B3959" s="33"/>
      <c r="G3959" s="33"/>
    </row>
    <row r="3960" spans="1:7" ht="15.75">
      <c r="A3960" s="33"/>
      <c r="B3960" s="33"/>
      <c r="G3960" s="33"/>
    </row>
    <row r="3961" spans="1:7" ht="15.75">
      <c r="A3961" s="33"/>
      <c r="B3961" s="33"/>
      <c r="G3961" s="33"/>
    </row>
    <row r="3962" spans="1:7" ht="15.75">
      <c r="A3962" s="33"/>
      <c r="B3962" s="33"/>
      <c r="G3962" s="33"/>
    </row>
    <row r="3963" spans="1:7" ht="15.75">
      <c r="A3963" s="33"/>
      <c r="B3963" s="33"/>
      <c r="G3963" s="33"/>
    </row>
    <row r="3964" spans="1:7" ht="15.75">
      <c r="A3964" s="33"/>
      <c r="B3964" s="33"/>
      <c r="G3964" s="33"/>
    </row>
    <row r="3965" spans="1:7" ht="15.75">
      <c r="A3965" s="33"/>
      <c r="B3965" s="33"/>
      <c r="G3965" s="33"/>
    </row>
    <row r="3966" spans="1:7" ht="15.75">
      <c r="A3966" s="33"/>
      <c r="B3966" s="33"/>
      <c r="G3966" s="33"/>
    </row>
    <row r="3967" spans="1:7" ht="15.75">
      <c r="A3967" s="33"/>
      <c r="B3967" s="33"/>
      <c r="G3967" s="33"/>
    </row>
    <row r="3968" spans="1:7" ht="15.75">
      <c r="A3968" s="33"/>
      <c r="B3968" s="33"/>
      <c r="G3968" s="33"/>
    </row>
    <row r="3969" spans="1:7" ht="15.75">
      <c r="A3969" s="33"/>
      <c r="B3969" s="33"/>
      <c r="G3969" s="33"/>
    </row>
    <row r="3970" spans="1:7" ht="15.75">
      <c r="A3970" s="33"/>
      <c r="B3970" s="33"/>
      <c r="G3970" s="33"/>
    </row>
    <row r="3971" spans="1:7" ht="15.75">
      <c r="A3971" s="33"/>
      <c r="B3971" s="33"/>
      <c r="G3971" s="33"/>
    </row>
    <row r="3972" spans="1:7" ht="15.75">
      <c r="A3972" s="33"/>
      <c r="B3972" s="33"/>
      <c r="G3972" s="33"/>
    </row>
    <row r="3973" spans="1:7" ht="15.75">
      <c r="A3973" s="33"/>
      <c r="B3973" s="33"/>
      <c r="G3973" s="33"/>
    </row>
    <row r="3974" spans="1:7" ht="15.75">
      <c r="A3974" s="33"/>
      <c r="B3974" s="33"/>
      <c r="G3974" s="33"/>
    </row>
    <row r="3975" spans="1:7" ht="15.75">
      <c r="A3975" s="33"/>
      <c r="B3975" s="33"/>
      <c r="G3975" s="33"/>
    </row>
    <row r="3976" spans="1:7" ht="15.75">
      <c r="A3976" s="33"/>
      <c r="B3976" s="33"/>
      <c r="G3976" s="33"/>
    </row>
    <row r="3977" spans="1:7" ht="15.75">
      <c r="A3977" s="33"/>
      <c r="B3977" s="33"/>
      <c r="G3977" s="33"/>
    </row>
    <row r="3978" spans="1:7" ht="15.75">
      <c r="A3978" s="33"/>
      <c r="B3978" s="33"/>
      <c r="G3978" s="33"/>
    </row>
    <row r="3979" spans="1:7" ht="15.75">
      <c r="A3979" s="33"/>
      <c r="B3979" s="33"/>
      <c r="G3979" s="33"/>
    </row>
    <row r="3980" spans="1:7" ht="15.75">
      <c r="A3980" s="33"/>
      <c r="B3980" s="33"/>
      <c r="G3980" s="33"/>
    </row>
    <row r="3981" spans="1:7" ht="15.75">
      <c r="A3981" s="33"/>
      <c r="B3981" s="33"/>
      <c r="G3981" s="33"/>
    </row>
    <row r="3982" spans="1:7" ht="15.75">
      <c r="A3982" s="33"/>
      <c r="B3982" s="33"/>
      <c r="G3982" s="33"/>
    </row>
    <row r="3983" spans="1:7" ht="15.75">
      <c r="A3983" s="33"/>
      <c r="B3983" s="33"/>
      <c r="G3983" s="33"/>
    </row>
    <row r="3984" spans="1:7" ht="15.75">
      <c r="A3984" s="33"/>
      <c r="B3984" s="33"/>
      <c r="G3984" s="33"/>
    </row>
    <row r="3985" spans="1:7" ht="15.75">
      <c r="A3985" s="33"/>
      <c r="B3985" s="33"/>
      <c r="G3985" s="33"/>
    </row>
    <row r="3986" spans="1:7" ht="15.75">
      <c r="A3986" s="33"/>
      <c r="B3986" s="33"/>
      <c r="G3986" s="33"/>
    </row>
    <row r="3987" spans="1:7" ht="15.75">
      <c r="A3987" s="33"/>
      <c r="B3987" s="33"/>
      <c r="G3987" s="33"/>
    </row>
    <row r="3988" spans="1:7" ht="15.75">
      <c r="A3988" s="33"/>
      <c r="B3988" s="33"/>
      <c r="G3988" s="33"/>
    </row>
    <row r="3989" spans="1:7" ht="15.75">
      <c r="A3989" s="33"/>
      <c r="B3989" s="33"/>
      <c r="G3989" s="33"/>
    </row>
    <row r="3990" spans="1:7" ht="15.75">
      <c r="A3990" s="33"/>
      <c r="B3990" s="33"/>
      <c r="G3990" s="33"/>
    </row>
    <row r="3991" spans="1:7" ht="15.75">
      <c r="A3991" s="33"/>
      <c r="B3991" s="33"/>
      <c r="G3991" s="33"/>
    </row>
    <row r="3992" spans="1:7" ht="15.75">
      <c r="A3992" s="33"/>
      <c r="B3992" s="33"/>
      <c r="G3992" s="33"/>
    </row>
    <row r="3993" spans="1:7" ht="15.75">
      <c r="A3993" s="33"/>
      <c r="B3993" s="33"/>
      <c r="G3993" s="33"/>
    </row>
    <row r="3994" spans="1:7" ht="15.75">
      <c r="A3994" s="33"/>
      <c r="B3994" s="33"/>
      <c r="G3994" s="33"/>
    </row>
    <row r="3995" spans="1:7" ht="15.75">
      <c r="A3995" s="33"/>
      <c r="B3995" s="33"/>
      <c r="G3995" s="33"/>
    </row>
    <row r="3996" spans="1:7" ht="15.75">
      <c r="A3996" s="33"/>
      <c r="B3996" s="33"/>
      <c r="G3996" s="33"/>
    </row>
    <row r="3997" spans="1:7" ht="15.75">
      <c r="A3997" s="33"/>
      <c r="B3997" s="33"/>
      <c r="G3997" s="33"/>
    </row>
    <row r="3998" spans="1:7" ht="15.75">
      <c r="A3998" s="33"/>
      <c r="B3998" s="33"/>
      <c r="G3998" s="33"/>
    </row>
    <row r="3999" spans="1:7" ht="15.75">
      <c r="A3999" s="33"/>
      <c r="B3999" s="33"/>
      <c r="G3999" s="33"/>
    </row>
    <row r="4000" spans="1:7" ht="15.75">
      <c r="A4000" s="33"/>
      <c r="B4000" s="33"/>
      <c r="G4000" s="33"/>
    </row>
    <row r="4001" spans="1:7" ht="15.75">
      <c r="A4001" s="33"/>
      <c r="B4001" s="33"/>
      <c r="G4001" s="33"/>
    </row>
    <row r="4002" spans="1:7" ht="15.75">
      <c r="A4002" s="33"/>
      <c r="B4002" s="33"/>
      <c r="G4002" s="33"/>
    </row>
    <row r="4003" spans="1:7" ht="15.75">
      <c r="A4003" s="33"/>
      <c r="B4003" s="33"/>
      <c r="G4003" s="33"/>
    </row>
    <row r="4004" spans="1:7" ht="15.75">
      <c r="A4004" s="33"/>
      <c r="B4004" s="33"/>
      <c r="G4004" s="33"/>
    </row>
    <row r="4005" spans="1:7" ht="15.75">
      <c r="A4005" s="33"/>
      <c r="B4005" s="33"/>
      <c r="G4005" s="33"/>
    </row>
    <row r="4006" spans="1:7" ht="15.75">
      <c r="A4006" s="33"/>
      <c r="B4006" s="33"/>
      <c r="G4006" s="33"/>
    </row>
    <row r="4007" spans="1:7" ht="15.75">
      <c r="A4007" s="33"/>
      <c r="B4007" s="33"/>
      <c r="G4007" s="33"/>
    </row>
    <row r="4008" spans="1:7" ht="15.75">
      <c r="A4008" s="33"/>
      <c r="B4008" s="33"/>
      <c r="G4008" s="33"/>
    </row>
    <row r="4009" spans="1:7" ht="15.75">
      <c r="A4009" s="33"/>
      <c r="B4009" s="33"/>
      <c r="G4009" s="33"/>
    </row>
    <row r="4010" spans="1:7" ht="15.75">
      <c r="A4010" s="33"/>
      <c r="B4010" s="33"/>
      <c r="G4010" s="33"/>
    </row>
    <row r="4011" spans="1:7" ht="15.75">
      <c r="A4011" s="33"/>
      <c r="B4011" s="33"/>
      <c r="G4011" s="33"/>
    </row>
    <row r="4012" spans="1:7" ht="15.75">
      <c r="A4012" s="33"/>
      <c r="B4012" s="33"/>
      <c r="G4012" s="33"/>
    </row>
    <row r="4013" spans="1:7" ht="15.75">
      <c r="A4013" s="33"/>
      <c r="B4013" s="33"/>
      <c r="G4013" s="33"/>
    </row>
    <row r="4014" spans="1:7" ht="15.75">
      <c r="A4014" s="33"/>
      <c r="B4014" s="33"/>
      <c r="G4014" s="33"/>
    </row>
    <row r="4015" spans="1:7" ht="15.75">
      <c r="A4015" s="33"/>
      <c r="B4015" s="33"/>
      <c r="G4015" s="33"/>
    </row>
    <row r="4016" spans="1:7" ht="15.75">
      <c r="A4016" s="33"/>
      <c r="B4016" s="33"/>
      <c r="G4016" s="33"/>
    </row>
    <row r="4017" spans="1:7" ht="15.75">
      <c r="A4017" s="33"/>
      <c r="B4017" s="33"/>
      <c r="G4017" s="33"/>
    </row>
    <row r="4018" spans="1:7" ht="15.75">
      <c r="A4018" s="33"/>
      <c r="B4018" s="33"/>
      <c r="G4018" s="33"/>
    </row>
    <row r="4019" spans="1:7" ht="15.75">
      <c r="A4019" s="33"/>
      <c r="B4019" s="33"/>
      <c r="G4019" s="33"/>
    </row>
    <row r="4020" spans="1:7" ht="15.75">
      <c r="A4020" s="33"/>
      <c r="B4020" s="33"/>
      <c r="G4020" s="33"/>
    </row>
    <row r="4021" spans="1:7" ht="15.75">
      <c r="A4021" s="33"/>
      <c r="B4021" s="33"/>
      <c r="G4021" s="33"/>
    </row>
    <row r="4022" spans="1:7" ht="15.75">
      <c r="A4022" s="33"/>
      <c r="B4022" s="33"/>
      <c r="G4022" s="33"/>
    </row>
    <row r="4023" spans="1:7" ht="15.75">
      <c r="A4023" s="33"/>
      <c r="B4023" s="33"/>
      <c r="G4023" s="33"/>
    </row>
    <row r="4024" spans="1:7" ht="15.75">
      <c r="A4024" s="33"/>
      <c r="B4024" s="33"/>
      <c r="G4024" s="33"/>
    </row>
    <row r="4025" spans="1:7" ht="15.75">
      <c r="A4025" s="33"/>
      <c r="B4025" s="33"/>
      <c r="G4025" s="33"/>
    </row>
    <row r="4026" spans="1:7" ht="15.75">
      <c r="A4026" s="33"/>
      <c r="B4026" s="33"/>
      <c r="G4026" s="33"/>
    </row>
    <row r="4027" spans="1:7" ht="15.75">
      <c r="A4027" s="33"/>
      <c r="B4027" s="33"/>
      <c r="G4027" s="33"/>
    </row>
    <row r="4028" spans="1:7" ht="15.75">
      <c r="A4028" s="33"/>
      <c r="B4028" s="33"/>
      <c r="G4028" s="33"/>
    </row>
    <row r="4029" spans="1:7" ht="15.75">
      <c r="A4029" s="33"/>
      <c r="B4029" s="33"/>
      <c r="G4029" s="33"/>
    </row>
    <row r="4030" spans="1:7" ht="15.75">
      <c r="A4030" s="33"/>
      <c r="B4030" s="33"/>
      <c r="G4030" s="33"/>
    </row>
    <row r="4031" spans="1:7" ht="15.75">
      <c r="A4031" s="33"/>
      <c r="B4031" s="33"/>
      <c r="G4031" s="33"/>
    </row>
    <row r="4032" spans="1:7" ht="15.75">
      <c r="A4032" s="33"/>
      <c r="B4032" s="33"/>
      <c r="G4032" s="33"/>
    </row>
    <row r="4033" spans="1:7" ht="15.75">
      <c r="A4033" s="33"/>
      <c r="B4033" s="33"/>
      <c r="G4033" s="33"/>
    </row>
    <row r="4034" spans="1:7" ht="15.75">
      <c r="A4034" s="33"/>
      <c r="B4034" s="33"/>
      <c r="G4034" s="33"/>
    </row>
    <row r="4035" spans="1:7" ht="15.75">
      <c r="A4035" s="33"/>
      <c r="B4035" s="33"/>
      <c r="G4035" s="33"/>
    </row>
    <row r="4036" spans="1:7" ht="15.75">
      <c r="A4036" s="33"/>
      <c r="B4036" s="33"/>
      <c r="G4036" s="33"/>
    </row>
    <row r="4037" spans="1:7" ht="15.75">
      <c r="A4037" s="33"/>
      <c r="B4037" s="33"/>
      <c r="G4037" s="33"/>
    </row>
    <row r="4038" spans="1:7" ht="15.75">
      <c r="A4038" s="33"/>
      <c r="B4038" s="33"/>
      <c r="G4038" s="33"/>
    </row>
    <row r="4039" spans="1:7" ht="15.75">
      <c r="A4039" s="33"/>
      <c r="B4039" s="33"/>
      <c r="G4039" s="33"/>
    </row>
    <row r="4040" spans="1:7" ht="15.75">
      <c r="A4040" s="33"/>
      <c r="B4040" s="33"/>
      <c r="G4040" s="33"/>
    </row>
    <row r="4041" spans="1:7" ht="15.75">
      <c r="A4041" s="33"/>
      <c r="B4041" s="33"/>
      <c r="G4041" s="33"/>
    </row>
    <row r="4042" spans="1:7" ht="15.75">
      <c r="A4042" s="33"/>
      <c r="B4042" s="33"/>
      <c r="G4042" s="33"/>
    </row>
    <row r="4043" spans="1:7" ht="15.75">
      <c r="A4043" s="33"/>
      <c r="B4043" s="33"/>
      <c r="G4043" s="33"/>
    </row>
    <row r="4044" spans="1:7" ht="15.75">
      <c r="A4044" s="33"/>
      <c r="B4044" s="33"/>
      <c r="G4044" s="33"/>
    </row>
    <row r="4045" spans="1:7" ht="15.75">
      <c r="A4045" s="33"/>
      <c r="B4045" s="33"/>
      <c r="G4045" s="33"/>
    </row>
    <row r="4046" spans="1:7" ht="15.75">
      <c r="A4046" s="33"/>
      <c r="B4046" s="33"/>
      <c r="G4046" s="33"/>
    </row>
    <row r="4047" spans="1:7" ht="15.75">
      <c r="A4047" s="33"/>
      <c r="B4047" s="33"/>
      <c r="G4047" s="33"/>
    </row>
    <row r="4048" spans="1:7" ht="15.75">
      <c r="A4048" s="33"/>
      <c r="B4048" s="33"/>
      <c r="G4048" s="33"/>
    </row>
    <row r="4049" spans="1:7" ht="15.75">
      <c r="A4049" s="33"/>
      <c r="B4049" s="33"/>
      <c r="G4049" s="33"/>
    </row>
    <row r="4050" spans="1:7" ht="15.75">
      <c r="A4050" s="33"/>
      <c r="B4050" s="33"/>
      <c r="G4050" s="33"/>
    </row>
    <row r="4051" spans="1:7" ht="15.75">
      <c r="A4051" s="33"/>
      <c r="B4051" s="33"/>
      <c r="G4051" s="33"/>
    </row>
    <row r="4052" spans="1:7" ht="15.75">
      <c r="A4052" s="33"/>
      <c r="B4052" s="33"/>
      <c r="G4052" s="33"/>
    </row>
    <row r="4053" spans="1:7" ht="15.75">
      <c r="A4053" s="33"/>
      <c r="B4053" s="33"/>
      <c r="G4053" s="33"/>
    </row>
    <row r="4054" spans="1:7" ht="15.75">
      <c r="A4054" s="33"/>
      <c r="B4054" s="33"/>
      <c r="G4054" s="33"/>
    </row>
    <row r="4055" spans="1:7" ht="15.75">
      <c r="A4055" s="33"/>
      <c r="B4055" s="33"/>
      <c r="G4055" s="33"/>
    </row>
    <row r="4056" spans="1:7" ht="15.75">
      <c r="A4056" s="33"/>
      <c r="B4056" s="33"/>
      <c r="G4056" s="33"/>
    </row>
    <row r="4057" spans="1:7" ht="15.75">
      <c r="A4057" s="33"/>
      <c r="B4057" s="33"/>
      <c r="G4057" s="33"/>
    </row>
    <row r="4058" spans="1:7" ht="15.75">
      <c r="A4058" s="33"/>
      <c r="B4058" s="33"/>
      <c r="G4058" s="33"/>
    </row>
    <row r="4059" spans="1:7" ht="15.75">
      <c r="A4059" s="33"/>
      <c r="B4059" s="33"/>
      <c r="G4059" s="33"/>
    </row>
    <row r="4060" spans="1:7" ht="15.75">
      <c r="A4060" s="33"/>
      <c r="B4060" s="33"/>
      <c r="G4060" s="33"/>
    </row>
    <row r="4061" spans="1:7" ht="15.75">
      <c r="A4061" s="33"/>
      <c r="B4061" s="33"/>
      <c r="G4061" s="33"/>
    </row>
    <row r="4062" spans="1:7" ht="15.75">
      <c r="A4062" s="33"/>
      <c r="B4062" s="33"/>
      <c r="G4062" s="33"/>
    </row>
    <row r="4063" spans="1:7" ht="15.75">
      <c r="A4063" s="33"/>
      <c r="B4063" s="33"/>
      <c r="G4063" s="33"/>
    </row>
    <row r="4064" spans="1:7" ht="15.75">
      <c r="A4064" s="33"/>
      <c r="B4064" s="33"/>
      <c r="G4064" s="33"/>
    </row>
    <row r="4065" spans="1:7" ht="15.75">
      <c r="A4065" s="33"/>
      <c r="B4065" s="33"/>
      <c r="G4065" s="33"/>
    </row>
    <row r="4066" spans="1:7" ht="15.75">
      <c r="A4066" s="33"/>
      <c r="B4066" s="33"/>
      <c r="G4066" s="33"/>
    </row>
    <row r="4067" spans="1:7" ht="15.75">
      <c r="A4067" s="33"/>
      <c r="B4067" s="33"/>
      <c r="G4067" s="33"/>
    </row>
    <row r="4068" spans="1:7" ht="15.75">
      <c r="A4068" s="33"/>
      <c r="B4068" s="33"/>
      <c r="G4068" s="33"/>
    </row>
    <row r="4069" spans="1:7" ht="15.75">
      <c r="A4069" s="33"/>
      <c r="B4069" s="33"/>
      <c r="G4069" s="33"/>
    </row>
    <row r="4070" spans="1:7" ht="15.75">
      <c r="A4070" s="33"/>
      <c r="B4070" s="33"/>
      <c r="G4070" s="33"/>
    </row>
    <row r="4071" spans="1:7" ht="15.75">
      <c r="A4071" s="33"/>
      <c r="B4071" s="33"/>
      <c r="G4071" s="33"/>
    </row>
    <row r="4072" spans="1:7" ht="15.75">
      <c r="A4072" s="33"/>
      <c r="B4072" s="33"/>
      <c r="G4072" s="33"/>
    </row>
    <row r="4073" spans="1:7" ht="15.75">
      <c r="A4073" s="33"/>
      <c r="B4073" s="33"/>
      <c r="G4073" s="33"/>
    </row>
    <row r="4074" spans="1:7" ht="15.75">
      <c r="A4074" s="33"/>
      <c r="B4074" s="33"/>
      <c r="G4074" s="33"/>
    </row>
    <row r="4075" spans="1:7" ht="15.75">
      <c r="A4075" s="33"/>
      <c r="B4075" s="33"/>
      <c r="G4075" s="33"/>
    </row>
    <row r="4076" spans="1:7" ht="15.75">
      <c r="A4076" s="33"/>
      <c r="B4076" s="33"/>
      <c r="G4076" s="33"/>
    </row>
    <row r="4077" spans="1:7" ht="15.75">
      <c r="A4077" s="33"/>
      <c r="B4077" s="33"/>
      <c r="G4077" s="33"/>
    </row>
    <row r="4078" spans="1:7" ht="15.75">
      <c r="A4078" s="33"/>
      <c r="B4078" s="33"/>
      <c r="G4078" s="33"/>
    </row>
    <row r="4079" spans="1:7" ht="15.75">
      <c r="A4079" s="33"/>
      <c r="B4079" s="33"/>
      <c r="G4079" s="33"/>
    </row>
    <row r="4080" spans="1:7" ht="15.75">
      <c r="A4080" s="33"/>
      <c r="B4080" s="33"/>
      <c r="G4080" s="33"/>
    </row>
    <row r="4081" spans="1:7" ht="15.75">
      <c r="A4081" s="33"/>
      <c r="B4081" s="33"/>
      <c r="G4081" s="33"/>
    </row>
    <row r="4082" spans="1:7" ht="15.75">
      <c r="A4082" s="33"/>
      <c r="B4082" s="33"/>
      <c r="G4082" s="33"/>
    </row>
    <row r="4083" spans="1:7" ht="15.75">
      <c r="A4083" s="33"/>
      <c r="B4083" s="33"/>
      <c r="G4083" s="33"/>
    </row>
    <row r="4084" spans="1:7" ht="15.75">
      <c r="A4084" s="33"/>
      <c r="B4084" s="33"/>
      <c r="G4084" s="33"/>
    </row>
    <row r="4085" spans="1:7" ht="15.75">
      <c r="A4085" s="33"/>
      <c r="B4085" s="33"/>
      <c r="G4085" s="33"/>
    </row>
    <row r="4086" spans="1:7" ht="15.75">
      <c r="A4086" s="33"/>
      <c r="B4086" s="33"/>
      <c r="G4086" s="33"/>
    </row>
    <row r="4087" spans="1:7" ht="15.75">
      <c r="A4087" s="33"/>
      <c r="B4087" s="33"/>
      <c r="G4087" s="33"/>
    </row>
    <row r="4088" spans="1:7" ht="15.75">
      <c r="A4088" s="33"/>
      <c r="B4088" s="33"/>
      <c r="G4088" s="33"/>
    </row>
    <row r="4089" spans="1:7" ht="15.75">
      <c r="A4089" s="33"/>
      <c r="B4089" s="33"/>
      <c r="G4089" s="33"/>
    </row>
    <row r="4090" spans="1:7" ht="15.75">
      <c r="A4090" s="33"/>
      <c r="B4090" s="33"/>
      <c r="G4090" s="33"/>
    </row>
    <row r="4091" spans="1:7" ht="15.75">
      <c r="A4091" s="33"/>
      <c r="B4091" s="33"/>
      <c r="G4091" s="33"/>
    </row>
    <row r="4092" spans="1:7" ht="15.75">
      <c r="A4092" s="33"/>
      <c r="B4092" s="33"/>
      <c r="G4092" s="33"/>
    </row>
    <row r="4093" spans="1:7" ht="15.75">
      <c r="A4093" s="33"/>
      <c r="B4093" s="33"/>
      <c r="G4093" s="33"/>
    </row>
    <row r="4094" spans="1:7" ht="15.75">
      <c r="A4094" s="33"/>
      <c r="B4094" s="33"/>
      <c r="G4094" s="33"/>
    </row>
    <row r="4095" spans="1:7" ht="15.75">
      <c r="A4095" s="33"/>
      <c r="B4095" s="33"/>
      <c r="G4095" s="33"/>
    </row>
    <row r="4096" spans="1:7" ht="15.75">
      <c r="A4096" s="33"/>
      <c r="B4096" s="33"/>
      <c r="G4096" s="33"/>
    </row>
    <row r="4097" spans="1:7" ht="15.75">
      <c r="A4097" s="33"/>
      <c r="B4097" s="33"/>
      <c r="G4097" s="33"/>
    </row>
    <row r="4098" spans="1:7" ht="15.75">
      <c r="A4098" s="33"/>
      <c r="B4098" s="33"/>
      <c r="G4098" s="33"/>
    </row>
    <row r="4099" spans="1:7" ht="15.75">
      <c r="A4099" s="33"/>
      <c r="B4099" s="33"/>
      <c r="G4099" s="33"/>
    </row>
    <row r="4100" spans="1:7" ht="15.75">
      <c r="A4100" s="33"/>
      <c r="B4100" s="33"/>
      <c r="G4100" s="33"/>
    </row>
    <row r="4101" spans="1:7" ht="15.75">
      <c r="A4101" s="33"/>
      <c r="B4101" s="33"/>
      <c r="G4101" s="33"/>
    </row>
    <row r="4102" spans="1:7" ht="15.75">
      <c r="A4102" s="33"/>
      <c r="B4102" s="33"/>
      <c r="G4102" s="33"/>
    </row>
    <row r="4103" spans="1:7" ht="15.75">
      <c r="A4103" s="33"/>
      <c r="B4103" s="33"/>
      <c r="G4103" s="33"/>
    </row>
    <row r="4104" spans="1:7" ht="15.75">
      <c r="A4104" s="33"/>
      <c r="B4104" s="33"/>
      <c r="G4104" s="33"/>
    </row>
    <row r="4105" spans="1:7" ht="15.75">
      <c r="A4105" s="33"/>
      <c r="B4105" s="33"/>
      <c r="G4105" s="33"/>
    </row>
    <row r="4106" spans="1:7" ht="15.75">
      <c r="A4106" s="33"/>
      <c r="B4106" s="33"/>
      <c r="G4106" s="33"/>
    </row>
    <row r="4107" spans="1:7" ht="15.75">
      <c r="A4107" s="33"/>
      <c r="B4107" s="33"/>
      <c r="G4107" s="33"/>
    </row>
    <row r="4108" spans="1:7" ht="15.75">
      <c r="A4108" s="33"/>
      <c r="B4108" s="33"/>
      <c r="G4108" s="33"/>
    </row>
    <row r="4109" spans="1:7" ht="15.75">
      <c r="A4109" s="33"/>
      <c r="B4109" s="33"/>
      <c r="G4109" s="33"/>
    </row>
    <row r="4110" spans="1:7" ht="15.75">
      <c r="A4110" s="33"/>
      <c r="B4110" s="33"/>
      <c r="G4110" s="33"/>
    </row>
    <row r="4111" spans="1:7" ht="15.75">
      <c r="A4111" s="33"/>
      <c r="B4111" s="33"/>
      <c r="G4111" s="33"/>
    </row>
    <row r="4112" spans="1:7" ht="15.75">
      <c r="A4112" s="33"/>
      <c r="B4112" s="33"/>
      <c r="G4112" s="33"/>
    </row>
    <row r="4113" spans="1:7" ht="15.75">
      <c r="A4113" s="33"/>
      <c r="B4113" s="33"/>
      <c r="G4113" s="33"/>
    </row>
    <row r="4114" spans="1:7" ht="15.75">
      <c r="A4114" s="33"/>
      <c r="B4114" s="33"/>
      <c r="G4114" s="33"/>
    </row>
    <row r="4115" spans="1:7" ht="15.75">
      <c r="A4115" s="33"/>
      <c r="B4115" s="33"/>
      <c r="G4115" s="33"/>
    </row>
    <row r="4116" spans="1:7" ht="15.75">
      <c r="A4116" s="33"/>
      <c r="B4116" s="33"/>
      <c r="G4116" s="33"/>
    </row>
    <row r="4117" spans="1:7" ht="15.75">
      <c r="A4117" s="33"/>
      <c r="B4117" s="33"/>
      <c r="G4117" s="33"/>
    </row>
    <row r="4118" spans="1:7" ht="15.75">
      <c r="A4118" s="33"/>
      <c r="B4118" s="33"/>
      <c r="G4118" s="33"/>
    </row>
    <row r="4119" spans="1:7" ht="15.75">
      <c r="A4119" s="33"/>
      <c r="B4119" s="33"/>
      <c r="G4119" s="33"/>
    </row>
    <row r="4120" spans="1:7" ht="15.75">
      <c r="A4120" s="33"/>
      <c r="B4120" s="33"/>
      <c r="G4120" s="33"/>
    </row>
    <row r="4121" spans="1:7" ht="15.75">
      <c r="A4121" s="33"/>
      <c r="B4121" s="33"/>
      <c r="G4121" s="33"/>
    </row>
    <row r="4122" spans="1:7" ht="15.75">
      <c r="A4122" s="33"/>
      <c r="B4122" s="33"/>
      <c r="G4122" s="33"/>
    </row>
    <row r="4123" spans="1:7" ht="15.75">
      <c r="A4123" s="33"/>
      <c r="B4123" s="33"/>
      <c r="G4123" s="33"/>
    </row>
    <row r="4124" spans="1:7" ht="15.75">
      <c r="A4124" s="33"/>
      <c r="B4124" s="33"/>
      <c r="G4124" s="33"/>
    </row>
    <row r="4125" spans="1:7" ht="15.75">
      <c r="A4125" s="33"/>
      <c r="B4125" s="33"/>
      <c r="G4125" s="33"/>
    </row>
    <row r="4126" spans="1:7" ht="15.75">
      <c r="A4126" s="33"/>
      <c r="B4126" s="33"/>
      <c r="G4126" s="33"/>
    </row>
    <row r="4127" spans="1:7" ht="15.75">
      <c r="A4127" s="33"/>
      <c r="B4127" s="33"/>
      <c r="G4127" s="33"/>
    </row>
    <row r="4128" spans="1:7" ht="15.75">
      <c r="A4128" s="33"/>
      <c r="B4128" s="33"/>
      <c r="G4128" s="33"/>
    </row>
    <row r="4129" spans="1:7" ht="15.75">
      <c r="A4129" s="33"/>
      <c r="B4129" s="33"/>
      <c r="G4129" s="33"/>
    </row>
    <row r="4130" spans="1:7" ht="15.75">
      <c r="A4130" s="33"/>
      <c r="B4130" s="33"/>
      <c r="G4130" s="33"/>
    </row>
    <row r="4131" spans="1:7" ht="15.75">
      <c r="A4131" s="33"/>
      <c r="B4131" s="33"/>
      <c r="G4131" s="33"/>
    </row>
    <row r="4132" spans="1:7" ht="15.75">
      <c r="A4132" s="33"/>
      <c r="B4132" s="33"/>
      <c r="G4132" s="33"/>
    </row>
    <row r="4133" spans="1:7" ht="15.75">
      <c r="A4133" s="33"/>
      <c r="B4133" s="33"/>
      <c r="G4133" s="33"/>
    </row>
    <row r="4134" spans="1:7" ht="15.75">
      <c r="A4134" s="33"/>
      <c r="B4134" s="33"/>
      <c r="G4134" s="33"/>
    </row>
    <row r="4135" spans="1:7" ht="15.75">
      <c r="A4135" s="33"/>
      <c r="B4135" s="33"/>
      <c r="G4135" s="33"/>
    </row>
    <row r="4136" spans="1:7" ht="15.75">
      <c r="A4136" s="33"/>
      <c r="B4136" s="33"/>
      <c r="G4136" s="33"/>
    </row>
    <row r="4137" spans="1:7" ht="15.75">
      <c r="A4137" s="33"/>
      <c r="B4137" s="33"/>
      <c r="G4137" s="33"/>
    </row>
    <row r="4138" spans="1:7" ht="15.75">
      <c r="A4138" s="33"/>
      <c r="B4138" s="33"/>
      <c r="G4138" s="33"/>
    </row>
    <row r="4139" spans="1:7" ht="15.75">
      <c r="A4139" s="33"/>
      <c r="B4139" s="33"/>
      <c r="G4139" s="33"/>
    </row>
    <row r="4140" spans="1:7" ht="15.75">
      <c r="A4140" s="33"/>
      <c r="B4140" s="33"/>
      <c r="G4140" s="33"/>
    </row>
    <row r="4141" spans="1:7" ht="15.75">
      <c r="A4141" s="33"/>
      <c r="B4141" s="33"/>
      <c r="G4141" s="33"/>
    </row>
    <row r="4142" spans="1:7" ht="15.75">
      <c r="A4142" s="33"/>
      <c r="B4142" s="33"/>
      <c r="G4142" s="33"/>
    </row>
    <row r="4143" spans="1:7" ht="15.75">
      <c r="A4143" s="33"/>
      <c r="B4143" s="33"/>
      <c r="G4143" s="33"/>
    </row>
    <row r="4144" spans="1:7" ht="15.75">
      <c r="A4144" s="33"/>
      <c r="B4144" s="33"/>
      <c r="G4144" s="33"/>
    </row>
    <row r="4145" spans="1:7" ht="15.75">
      <c r="A4145" s="33"/>
      <c r="B4145" s="33"/>
      <c r="G4145" s="33"/>
    </row>
    <row r="4146" spans="1:7" ht="15.75">
      <c r="A4146" s="33"/>
      <c r="B4146" s="33"/>
      <c r="G4146" s="33"/>
    </row>
    <row r="4147" spans="1:7" ht="15.75">
      <c r="A4147" s="33"/>
      <c r="B4147" s="33"/>
      <c r="G4147" s="33"/>
    </row>
    <row r="4148" spans="1:7" ht="15.75">
      <c r="A4148" s="33"/>
      <c r="B4148" s="33"/>
      <c r="G4148" s="33"/>
    </row>
    <row r="4149" spans="1:7" ht="15.75">
      <c r="A4149" s="33"/>
      <c r="B4149" s="33"/>
      <c r="G4149" s="33"/>
    </row>
    <row r="4150" spans="1:7" ht="15.75">
      <c r="A4150" s="33"/>
      <c r="B4150" s="33"/>
      <c r="G4150" s="33"/>
    </row>
    <row r="4151" spans="1:7" ht="15.75">
      <c r="A4151" s="33"/>
      <c r="B4151" s="33"/>
      <c r="G4151" s="33"/>
    </row>
    <row r="4152" spans="1:7" ht="15.75">
      <c r="A4152" s="33"/>
      <c r="B4152" s="33"/>
      <c r="G4152" s="33"/>
    </row>
    <row r="4153" spans="1:7" ht="15.75">
      <c r="A4153" s="33"/>
      <c r="B4153" s="33"/>
      <c r="G4153" s="33"/>
    </row>
    <row r="4154" spans="1:7" ht="15.75">
      <c r="A4154" s="33"/>
      <c r="B4154" s="33"/>
      <c r="G4154" s="33"/>
    </row>
    <row r="4155" spans="1:7" ht="15.75">
      <c r="A4155" s="33"/>
      <c r="B4155" s="33"/>
      <c r="G4155" s="33"/>
    </row>
    <row r="4156" spans="1:7" ht="15.75">
      <c r="A4156" s="33"/>
      <c r="B4156" s="33"/>
      <c r="G4156" s="33"/>
    </row>
    <row r="4157" spans="1:7" ht="15.75">
      <c r="A4157" s="33"/>
      <c r="B4157" s="33"/>
      <c r="G4157" s="33"/>
    </row>
    <row r="4158" spans="1:7" ht="15.75">
      <c r="A4158" s="33"/>
      <c r="B4158" s="33"/>
      <c r="G4158" s="33"/>
    </row>
    <row r="4159" spans="1:7" ht="15.75">
      <c r="A4159" s="33"/>
      <c r="B4159" s="33"/>
      <c r="G4159" s="33"/>
    </row>
    <row r="4160" spans="1:7" ht="15.75">
      <c r="A4160" s="33"/>
      <c r="B4160" s="33"/>
      <c r="G4160" s="33"/>
    </row>
    <row r="4161" spans="1:7" ht="15.75">
      <c r="A4161" s="33"/>
      <c r="B4161" s="33"/>
      <c r="G4161" s="33"/>
    </row>
    <row r="4162" spans="1:7" ht="15.75">
      <c r="A4162" s="33"/>
      <c r="B4162" s="33"/>
      <c r="G4162" s="33"/>
    </row>
    <row r="4163" spans="1:7" ht="15.75">
      <c r="A4163" s="33"/>
      <c r="B4163" s="33"/>
      <c r="G4163" s="33"/>
    </row>
    <row r="4164" spans="1:7" ht="15.75">
      <c r="A4164" s="33"/>
      <c r="B4164" s="33"/>
      <c r="G4164" s="33"/>
    </row>
    <row r="4165" spans="1:7" ht="15.75">
      <c r="A4165" s="33"/>
      <c r="B4165" s="33"/>
      <c r="G4165" s="33"/>
    </row>
    <row r="4166" spans="1:7" ht="15.75">
      <c r="A4166" s="33"/>
      <c r="B4166" s="33"/>
      <c r="G4166" s="33"/>
    </row>
    <row r="4167" spans="1:7" ht="15.75">
      <c r="A4167" s="33"/>
      <c r="B4167" s="33"/>
      <c r="G4167" s="33"/>
    </row>
    <row r="4168" spans="1:7" ht="15.75">
      <c r="A4168" s="33"/>
      <c r="B4168" s="33"/>
      <c r="G4168" s="33"/>
    </row>
    <row r="4169" spans="1:7" ht="15.75">
      <c r="A4169" s="33"/>
      <c r="B4169" s="33"/>
      <c r="G4169" s="33"/>
    </row>
    <row r="4170" spans="1:7" ht="15.75">
      <c r="A4170" s="33"/>
      <c r="B4170" s="33"/>
      <c r="G4170" s="33"/>
    </row>
    <row r="4171" spans="1:7" ht="15.75">
      <c r="A4171" s="33"/>
      <c r="B4171" s="33"/>
      <c r="G4171" s="33"/>
    </row>
    <row r="4172" spans="1:7" ht="15.75">
      <c r="A4172" s="33"/>
      <c r="B4172" s="33"/>
      <c r="G4172" s="33"/>
    </row>
    <row r="4173" spans="1:7" ht="15.75">
      <c r="A4173" s="33"/>
      <c r="B4173" s="33"/>
      <c r="G4173" s="33"/>
    </row>
    <row r="4174" spans="1:7" ht="15.75">
      <c r="A4174" s="33"/>
      <c r="B4174" s="33"/>
      <c r="G4174" s="33"/>
    </row>
    <row r="4175" spans="1:7" ht="15.75">
      <c r="A4175" s="33"/>
      <c r="B4175" s="33"/>
      <c r="G4175" s="33"/>
    </row>
    <row r="4176" spans="1:7" ht="15.75">
      <c r="A4176" s="33"/>
      <c r="B4176" s="33"/>
      <c r="G4176" s="33"/>
    </row>
    <row r="4177" spans="1:7" ht="15.75">
      <c r="A4177" s="33"/>
      <c r="B4177" s="33"/>
      <c r="G4177" s="33"/>
    </row>
    <row r="4178" spans="1:7" ht="15.75">
      <c r="A4178" s="33"/>
      <c r="B4178" s="33"/>
      <c r="G4178" s="33"/>
    </row>
    <row r="4179" spans="1:7" ht="15.75">
      <c r="A4179" s="33"/>
      <c r="B4179" s="33"/>
      <c r="G4179" s="33"/>
    </row>
    <row r="4180" spans="1:7" ht="15.75">
      <c r="A4180" s="33"/>
      <c r="B4180" s="33"/>
      <c r="G4180" s="33"/>
    </row>
    <row r="4181" spans="1:7" ht="15.75">
      <c r="A4181" s="33"/>
      <c r="B4181" s="33"/>
      <c r="G4181" s="33"/>
    </row>
    <row r="4182" spans="1:7" ht="15.75">
      <c r="A4182" s="33"/>
      <c r="B4182" s="33"/>
      <c r="G4182" s="33"/>
    </row>
    <row r="4183" spans="1:7" ht="15.75">
      <c r="A4183" s="33"/>
      <c r="B4183" s="33"/>
      <c r="G4183" s="33"/>
    </row>
    <row r="4184" spans="1:7" ht="15.75">
      <c r="A4184" s="33"/>
      <c r="B4184" s="33"/>
      <c r="G4184" s="33"/>
    </row>
    <row r="4185" spans="1:7" ht="15.75">
      <c r="A4185" s="33"/>
      <c r="B4185" s="33"/>
      <c r="G4185" s="33"/>
    </row>
    <row r="4186" spans="1:7" ht="15.75">
      <c r="A4186" s="33"/>
      <c r="B4186" s="33"/>
      <c r="G4186" s="33"/>
    </row>
    <row r="4187" spans="1:7" ht="15.75">
      <c r="A4187" s="33"/>
      <c r="B4187" s="33"/>
      <c r="G4187" s="33"/>
    </row>
    <row r="4188" spans="1:7" ht="15.75">
      <c r="A4188" s="33"/>
      <c r="B4188" s="33"/>
      <c r="G4188" s="33"/>
    </row>
    <row r="4189" spans="1:7" ht="15.75">
      <c r="A4189" s="33"/>
      <c r="B4189" s="33"/>
      <c r="G4189" s="33"/>
    </row>
    <row r="4190" spans="1:7" ht="15.75">
      <c r="A4190" s="33"/>
      <c r="B4190" s="33"/>
      <c r="G4190" s="33"/>
    </row>
    <row r="4191" spans="1:7" ht="15.75">
      <c r="A4191" s="33"/>
      <c r="B4191" s="33"/>
      <c r="G4191" s="33"/>
    </row>
    <row r="4192" spans="1:7" ht="15.75">
      <c r="A4192" s="33"/>
      <c r="B4192" s="33"/>
      <c r="G4192" s="33"/>
    </row>
    <row r="4193" spans="1:7" ht="15.75">
      <c r="A4193" s="33"/>
      <c r="B4193" s="33"/>
      <c r="G4193" s="33"/>
    </row>
    <row r="4194" spans="1:7" ht="15.75">
      <c r="A4194" s="33"/>
      <c r="B4194" s="33"/>
      <c r="G4194" s="33"/>
    </row>
    <row r="4195" spans="1:7" ht="15.75">
      <c r="A4195" s="33"/>
      <c r="B4195" s="33"/>
      <c r="G4195" s="33"/>
    </row>
    <row r="4196" spans="1:7" ht="15.75">
      <c r="A4196" s="33"/>
      <c r="B4196" s="33"/>
      <c r="G4196" s="33"/>
    </row>
    <row r="4197" spans="1:7" ht="15.75">
      <c r="A4197" s="33"/>
      <c r="B4197" s="33"/>
      <c r="G4197" s="33"/>
    </row>
    <row r="4198" spans="1:7" ht="15.75">
      <c r="A4198" s="33"/>
      <c r="B4198" s="33"/>
      <c r="G4198" s="33"/>
    </row>
    <row r="4199" spans="1:7" ht="15.75">
      <c r="A4199" s="33"/>
      <c r="B4199" s="33"/>
      <c r="G4199" s="33"/>
    </row>
    <row r="4200" spans="1:7" ht="15.75">
      <c r="A4200" s="33"/>
      <c r="B4200" s="33"/>
      <c r="G4200" s="33"/>
    </row>
    <row r="4201" spans="1:7" ht="15.75">
      <c r="A4201" s="33"/>
      <c r="B4201" s="33"/>
      <c r="G4201" s="33"/>
    </row>
    <row r="4202" spans="1:7" ht="15.75">
      <c r="A4202" s="33"/>
      <c r="B4202" s="33"/>
      <c r="G4202" s="33"/>
    </row>
    <row r="4203" spans="1:7" ht="15.75">
      <c r="A4203" s="33"/>
      <c r="B4203" s="33"/>
      <c r="G4203" s="33"/>
    </row>
    <row r="4204" spans="1:7" ht="15.75">
      <c r="A4204" s="33"/>
      <c r="B4204" s="33"/>
      <c r="G4204" s="33"/>
    </row>
    <row r="4205" spans="1:7" ht="15.75">
      <c r="A4205" s="33"/>
      <c r="B4205" s="33"/>
      <c r="G4205" s="33"/>
    </row>
    <row r="4206" spans="1:7" ht="15.75">
      <c r="A4206" s="33"/>
      <c r="B4206" s="33"/>
      <c r="G4206" s="33"/>
    </row>
    <row r="4207" spans="1:7" ht="15.75">
      <c r="A4207" s="33"/>
      <c r="B4207" s="33"/>
      <c r="G4207" s="33"/>
    </row>
    <row r="4208" spans="1:7" ht="15.75">
      <c r="A4208" s="33"/>
      <c r="B4208" s="33"/>
      <c r="G4208" s="33"/>
    </row>
    <row r="4209" spans="1:7" ht="15.75">
      <c r="A4209" s="33"/>
      <c r="B4209" s="33"/>
      <c r="G4209" s="33"/>
    </row>
    <row r="4210" spans="1:7" ht="15.75">
      <c r="A4210" s="33"/>
      <c r="B4210" s="33"/>
      <c r="G4210" s="33"/>
    </row>
    <row r="4211" spans="1:7" ht="15.75">
      <c r="A4211" s="33"/>
      <c r="B4211" s="33"/>
      <c r="G4211" s="33"/>
    </row>
    <row r="4212" spans="1:7" ht="15.75">
      <c r="A4212" s="33"/>
      <c r="B4212" s="33"/>
      <c r="G4212" s="33"/>
    </row>
    <row r="4213" spans="1:7" ht="15.75">
      <c r="A4213" s="33"/>
      <c r="B4213" s="33"/>
      <c r="G4213" s="33"/>
    </row>
    <row r="4214" spans="1:7" ht="15.75">
      <c r="A4214" s="33"/>
      <c r="B4214" s="33"/>
      <c r="G4214" s="33"/>
    </row>
    <row r="4215" spans="1:7" ht="15.75">
      <c r="A4215" s="33"/>
      <c r="B4215" s="33"/>
      <c r="G4215" s="33"/>
    </row>
    <row r="4216" spans="1:7" ht="15.75">
      <c r="A4216" s="33"/>
      <c r="B4216" s="33"/>
      <c r="G4216" s="33"/>
    </row>
    <row r="4217" spans="1:7" ht="15.75">
      <c r="A4217" s="33"/>
      <c r="B4217" s="33"/>
      <c r="G4217" s="33"/>
    </row>
    <row r="4218" spans="1:7" ht="15.75">
      <c r="A4218" s="33"/>
      <c r="B4218" s="33"/>
      <c r="G4218" s="33"/>
    </row>
    <row r="4219" spans="1:7" ht="15.75">
      <c r="A4219" s="33"/>
      <c r="B4219" s="33"/>
      <c r="G4219" s="33"/>
    </row>
    <row r="4220" spans="1:7" ht="15.75">
      <c r="A4220" s="33"/>
      <c r="B4220" s="33"/>
      <c r="G4220" s="33"/>
    </row>
    <row r="4221" spans="1:7" ht="15.75">
      <c r="A4221" s="33"/>
      <c r="B4221" s="33"/>
      <c r="G4221" s="33"/>
    </row>
    <row r="4222" spans="1:7" ht="15.75">
      <c r="A4222" s="33"/>
      <c r="B4222" s="33"/>
      <c r="G4222" s="33"/>
    </row>
    <row r="4223" spans="1:7" ht="15.75">
      <c r="A4223" s="33"/>
      <c r="B4223" s="33"/>
      <c r="G4223" s="33"/>
    </row>
    <row r="4224" spans="1:7" ht="15.75">
      <c r="A4224" s="33"/>
      <c r="B4224" s="33"/>
      <c r="G4224" s="33"/>
    </row>
    <row r="4225" spans="1:7" ht="15.75">
      <c r="A4225" s="33"/>
      <c r="B4225" s="33"/>
      <c r="G4225" s="33"/>
    </row>
    <row r="4226" spans="1:7" ht="15.75">
      <c r="A4226" s="33"/>
      <c r="B4226" s="33"/>
      <c r="G4226" s="33"/>
    </row>
    <row r="4227" spans="1:7" ht="15.75">
      <c r="A4227" s="33"/>
      <c r="B4227" s="33"/>
      <c r="G4227" s="33"/>
    </row>
    <row r="4228" spans="1:7" ht="15.75">
      <c r="A4228" s="33"/>
      <c r="B4228" s="33"/>
      <c r="G4228" s="33"/>
    </row>
    <row r="4229" spans="1:7" ht="15.75">
      <c r="A4229" s="33"/>
      <c r="B4229" s="33"/>
      <c r="G4229" s="33"/>
    </row>
    <row r="4230" spans="1:7" ht="15.75">
      <c r="A4230" s="33"/>
      <c r="B4230" s="33"/>
      <c r="G4230" s="33"/>
    </row>
    <row r="4231" spans="1:7" ht="15.75">
      <c r="A4231" s="33"/>
      <c r="B4231" s="33"/>
      <c r="G4231" s="33"/>
    </row>
    <row r="4232" spans="1:7" ht="15.75">
      <c r="A4232" s="33"/>
      <c r="B4232" s="33"/>
      <c r="G4232" s="33"/>
    </row>
    <row r="4233" spans="1:7" ht="15.75">
      <c r="A4233" s="33"/>
      <c r="B4233" s="33"/>
      <c r="G4233" s="33"/>
    </row>
    <row r="4234" spans="1:7" ht="15.75">
      <c r="A4234" s="33"/>
      <c r="B4234" s="33"/>
      <c r="G4234" s="33"/>
    </row>
    <row r="4235" spans="1:7" ht="15.75">
      <c r="A4235" s="33"/>
      <c r="B4235" s="33"/>
      <c r="G4235" s="33"/>
    </row>
    <row r="4236" spans="1:7" ht="15.75">
      <c r="A4236" s="33"/>
      <c r="B4236" s="33"/>
      <c r="G4236" s="33"/>
    </row>
    <row r="4237" spans="1:7" ht="15.75">
      <c r="A4237" s="33"/>
      <c r="B4237" s="33"/>
      <c r="G4237" s="33"/>
    </row>
    <row r="4238" spans="1:7" ht="15.75">
      <c r="A4238" s="33"/>
      <c r="B4238" s="33"/>
      <c r="G4238" s="33"/>
    </row>
    <row r="4239" spans="1:7" ht="15.75">
      <c r="A4239" s="33"/>
      <c r="B4239" s="33"/>
      <c r="G4239" s="33"/>
    </row>
    <row r="4240" spans="1:7" ht="15.75">
      <c r="A4240" s="33"/>
      <c r="B4240" s="33"/>
      <c r="G4240" s="33"/>
    </row>
    <row r="4241" spans="1:7" ht="15.75">
      <c r="A4241" s="33"/>
      <c r="B4241" s="33"/>
      <c r="G4241" s="33"/>
    </row>
    <row r="4242" spans="1:7" ht="15.75">
      <c r="A4242" s="33"/>
      <c r="B4242" s="33"/>
      <c r="G4242" s="33"/>
    </row>
    <row r="4243" spans="1:7" ht="15.75">
      <c r="A4243" s="33"/>
      <c r="B4243" s="33"/>
      <c r="G4243" s="33"/>
    </row>
    <row r="4244" spans="1:7" ht="15.75">
      <c r="A4244" s="33"/>
      <c r="B4244" s="33"/>
      <c r="G4244" s="33"/>
    </row>
    <row r="4245" spans="1:7" ht="15.75">
      <c r="A4245" s="33"/>
      <c r="B4245" s="33"/>
      <c r="G4245" s="33"/>
    </row>
    <row r="4246" spans="1:7" ht="15.75">
      <c r="A4246" s="33"/>
      <c r="B4246" s="33"/>
      <c r="G4246" s="33"/>
    </row>
    <row r="4247" spans="1:7" ht="15.75">
      <c r="A4247" s="33"/>
      <c r="B4247" s="33"/>
      <c r="G4247" s="33"/>
    </row>
    <row r="4248" spans="1:7" ht="15.75">
      <c r="A4248" s="33"/>
      <c r="B4248" s="33"/>
      <c r="G4248" s="33"/>
    </row>
    <row r="4249" spans="1:7" ht="15.75">
      <c r="A4249" s="33"/>
      <c r="B4249" s="33"/>
      <c r="G4249" s="33"/>
    </row>
    <row r="4250" spans="1:7" ht="15.75">
      <c r="A4250" s="33"/>
      <c r="B4250" s="33"/>
      <c r="G4250" s="33"/>
    </row>
    <row r="4251" spans="1:7" ht="15.75">
      <c r="A4251" s="33"/>
      <c r="B4251" s="33"/>
      <c r="G4251" s="33"/>
    </row>
    <row r="4252" spans="1:7" ht="15.75">
      <c r="A4252" s="33"/>
      <c r="B4252" s="33"/>
      <c r="G4252" s="33"/>
    </row>
    <row r="4253" spans="1:7" ht="15.75">
      <c r="A4253" s="33"/>
      <c r="B4253" s="33"/>
      <c r="G4253" s="33"/>
    </row>
    <row r="4254" spans="1:7" ht="15.75">
      <c r="A4254" s="33"/>
      <c r="B4254" s="33"/>
      <c r="G4254" s="33"/>
    </row>
    <row r="4255" spans="1:7" ht="15.75">
      <c r="A4255" s="33"/>
      <c r="B4255" s="33"/>
      <c r="G4255" s="33"/>
    </row>
    <row r="4256" spans="1:7" ht="15.75">
      <c r="A4256" s="33"/>
      <c r="B4256" s="33"/>
      <c r="G4256" s="33"/>
    </row>
    <row r="4257" spans="1:7" ht="15.75">
      <c r="A4257" s="33"/>
      <c r="B4257" s="33"/>
      <c r="G4257" s="33"/>
    </row>
    <row r="4258" spans="1:7" ht="15.75">
      <c r="A4258" s="33"/>
      <c r="B4258" s="33"/>
      <c r="G4258" s="33"/>
    </row>
    <row r="4259" spans="1:7" ht="15.75">
      <c r="A4259" s="33"/>
      <c r="B4259" s="33"/>
      <c r="G4259" s="33"/>
    </row>
    <row r="4260" spans="1:7" ht="15.75">
      <c r="A4260" s="33"/>
      <c r="B4260" s="33"/>
      <c r="G4260" s="33"/>
    </row>
    <row r="4261" spans="1:7" ht="15.75">
      <c r="A4261" s="33"/>
      <c r="B4261" s="33"/>
      <c r="G4261" s="33"/>
    </row>
    <row r="4262" spans="1:7" ht="15.75">
      <c r="A4262" s="33"/>
      <c r="B4262" s="33"/>
      <c r="G4262" s="33"/>
    </row>
    <row r="4263" spans="1:7" ht="15.75">
      <c r="A4263" s="33"/>
      <c r="B4263" s="33"/>
      <c r="G4263" s="33"/>
    </row>
    <row r="4264" spans="1:7" ht="15.75">
      <c r="A4264" s="33"/>
      <c r="B4264" s="33"/>
      <c r="G4264" s="33"/>
    </row>
    <row r="4265" spans="1:7" ht="15.75">
      <c r="A4265" s="33"/>
      <c r="B4265" s="33"/>
      <c r="G4265" s="33"/>
    </row>
    <row r="4266" spans="1:7" ht="15.75">
      <c r="A4266" s="33"/>
      <c r="B4266" s="33"/>
      <c r="G4266" s="33"/>
    </row>
    <row r="4267" spans="1:7" ht="15.75">
      <c r="A4267" s="33"/>
      <c r="B4267" s="33"/>
      <c r="G4267" s="33"/>
    </row>
    <row r="4268" spans="1:7" ht="15.75">
      <c r="A4268" s="33"/>
      <c r="B4268" s="33"/>
      <c r="G4268" s="33"/>
    </row>
    <row r="4269" spans="1:7" ht="15.75">
      <c r="A4269" s="33"/>
      <c r="B4269" s="33"/>
      <c r="G4269" s="33"/>
    </row>
    <row r="4270" spans="1:7" ht="15.75">
      <c r="A4270" s="33"/>
      <c r="B4270" s="33"/>
      <c r="G4270" s="33"/>
    </row>
    <row r="4271" spans="1:7" ht="15.75">
      <c r="A4271" s="33"/>
      <c r="B4271" s="33"/>
      <c r="G4271" s="33"/>
    </row>
    <row r="4272" spans="1:7" ht="15.75">
      <c r="A4272" s="33"/>
      <c r="B4272" s="33"/>
      <c r="G4272" s="33"/>
    </row>
    <row r="4273" spans="1:7" ht="15.75">
      <c r="A4273" s="33"/>
      <c r="B4273" s="33"/>
      <c r="G4273" s="33"/>
    </row>
    <row r="4274" spans="1:7" ht="15.75">
      <c r="A4274" s="33"/>
      <c r="B4274" s="33"/>
      <c r="G4274" s="33"/>
    </row>
    <row r="4275" spans="1:7" ht="15.75">
      <c r="A4275" s="33"/>
      <c r="B4275" s="33"/>
      <c r="G4275" s="33"/>
    </row>
    <row r="4276" spans="1:7" ht="15.75">
      <c r="A4276" s="33"/>
      <c r="B4276" s="33"/>
      <c r="G4276" s="33"/>
    </row>
    <row r="4277" spans="1:7" ht="15.75">
      <c r="A4277" s="33"/>
      <c r="B4277" s="33"/>
      <c r="G4277" s="33"/>
    </row>
    <row r="4278" spans="1:7" ht="15.75">
      <c r="A4278" s="33"/>
      <c r="B4278" s="33"/>
      <c r="G4278" s="33"/>
    </row>
    <row r="4279" spans="1:7" ht="15.75">
      <c r="A4279" s="33"/>
      <c r="B4279" s="33"/>
      <c r="G4279" s="33"/>
    </row>
    <row r="4280" spans="1:7" ht="15.75">
      <c r="A4280" s="33"/>
      <c r="B4280" s="33"/>
      <c r="G4280" s="33"/>
    </row>
    <row r="4281" spans="1:7" ht="15.75">
      <c r="A4281" s="33"/>
      <c r="B4281" s="33"/>
      <c r="G4281" s="33"/>
    </row>
    <row r="4282" spans="1:7" ht="15.75">
      <c r="A4282" s="33"/>
      <c r="B4282" s="33"/>
      <c r="G4282" s="33"/>
    </row>
    <row r="4283" spans="1:7" ht="15.75">
      <c r="A4283" s="33"/>
      <c r="B4283" s="33"/>
      <c r="G4283" s="33"/>
    </row>
    <row r="4284" spans="1:7" ht="15.75">
      <c r="A4284" s="33"/>
      <c r="B4284" s="33"/>
      <c r="G4284" s="33"/>
    </row>
    <row r="4285" spans="1:7" ht="15.75">
      <c r="A4285" s="33"/>
      <c r="B4285" s="33"/>
      <c r="G4285" s="33"/>
    </row>
    <row r="4286" spans="1:7" ht="15.75">
      <c r="A4286" s="33"/>
      <c r="B4286" s="33"/>
      <c r="G4286" s="33"/>
    </row>
    <row r="4287" spans="1:7" ht="15.75">
      <c r="A4287" s="33"/>
      <c r="B4287" s="33"/>
      <c r="G4287" s="33"/>
    </row>
    <row r="4288" spans="1:7" ht="15.75">
      <c r="A4288" s="33"/>
      <c r="B4288" s="33"/>
      <c r="G4288" s="33"/>
    </row>
    <row r="4289" spans="1:7" ht="15.75">
      <c r="A4289" s="33"/>
      <c r="B4289" s="33"/>
      <c r="G4289" s="33"/>
    </row>
    <row r="4290" spans="1:7" ht="15.75">
      <c r="A4290" s="33"/>
      <c r="B4290" s="33"/>
      <c r="G4290" s="33"/>
    </row>
    <row r="4291" spans="1:7" ht="15.75">
      <c r="A4291" s="33"/>
      <c r="B4291" s="33"/>
      <c r="G4291" s="33"/>
    </row>
    <row r="4292" spans="1:7" ht="15.75">
      <c r="A4292" s="33"/>
      <c r="B4292" s="33"/>
      <c r="G4292" s="33"/>
    </row>
    <row r="4293" spans="1:7" ht="15.75">
      <c r="A4293" s="33"/>
      <c r="B4293" s="33"/>
      <c r="G4293" s="33"/>
    </row>
    <row r="4294" spans="1:7" ht="15.75">
      <c r="A4294" s="33"/>
      <c r="B4294" s="33"/>
      <c r="G4294" s="33"/>
    </row>
    <row r="4295" spans="1:7" ht="15.75">
      <c r="A4295" s="33"/>
      <c r="B4295" s="33"/>
      <c r="G4295" s="33"/>
    </row>
    <row r="4296" spans="1:7" ht="15.75">
      <c r="A4296" s="33"/>
      <c r="B4296" s="33"/>
      <c r="G4296" s="33"/>
    </row>
    <row r="4297" spans="1:7" ht="15.75">
      <c r="A4297" s="33"/>
      <c r="B4297" s="33"/>
      <c r="G4297" s="33"/>
    </row>
    <row r="4298" spans="1:7" ht="15.75">
      <c r="A4298" s="33"/>
      <c r="B4298" s="33"/>
      <c r="G4298" s="33"/>
    </row>
    <row r="4299" spans="1:7" ht="15.75">
      <c r="A4299" s="33"/>
      <c r="B4299" s="33"/>
      <c r="G4299" s="33"/>
    </row>
    <row r="4300" spans="1:7" ht="15.75">
      <c r="A4300" s="33"/>
      <c r="B4300" s="33"/>
      <c r="G4300" s="33"/>
    </row>
    <row r="4301" spans="1:7" ht="15.75">
      <c r="A4301" s="33"/>
      <c r="B4301" s="33"/>
      <c r="G4301" s="33"/>
    </row>
    <row r="4302" spans="1:7" ht="15.75">
      <c r="A4302" s="33"/>
      <c r="B4302" s="33"/>
      <c r="G4302" s="33"/>
    </row>
    <row r="4303" spans="1:7" ht="15.75">
      <c r="A4303" s="33"/>
      <c r="B4303" s="33"/>
      <c r="G4303" s="33"/>
    </row>
    <row r="4304" spans="1:7" ht="15.75">
      <c r="A4304" s="33"/>
      <c r="B4304" s="33"/>
      <c r="G4304" s="33"/>
    </row>
    <row r="4305" spans="1:7" ht="15.75">
      <c r="A4305" s="33"/>
      <c r="B4305" s="33"/>
      <c r="G4305" s="33"/>
    </row>
    <row r="4306" spans="1:7" ht="15.75">
      <c r="A4306" s="33"/>
      <c r="B4306" s="33"/>
      <c r="G4306" s="33"/>
    </row>
    <row r="4307" spans="1:7" ht="15.75">
      <c r="A4307" s="33"/>
      <c r="B4307" s="33"/>
      <c r="G4307" s="33"/>
    </row>
    <row r="4308" spans="1:7" ht="15.75">
      <c r="A4308" s="33"/>
      <c r="B4308" s="33"/>
      <c r="G4308" s="33"/>
    </row>
    <row r="4309" spans="1:7" ht="15.75">
      <c r="A4309" s="33"/>
      <c r="B4309" s="33"/>
      <c r="G4309" s="33"/>
    </row>
    <row r="4310" spans="1:7" ht="15.75">
      <c r="A4310" s="33"/>
      <c r="B4310" s="33"/>
      <c r="G4310" s="33"/>
    </row>
    <row r="4311" spans="1:7" ht="15.75">
      <c r="A4311" s="33"/>
      <c r="B4311" s="33"/>
      <c r="G4311" s="33"/>
    </row>
    <row r="4312" spans="1:7" ht="15.75">
      <c r="A4312" s="33"/>
      <c r="B4312" s="33"/>
      <c r="G4312" s="33"/>
    </row>
    <row r="4313" spans="1:7" ht="15.75">
      <c r="A4313" s="33"/>
      <c r="B4313" s="33"/>
      <c r="G4313" s="33"/>
    </row>
    <row r="4314" spans="1:7" ht="15.75">
      <c r="A4314" s="33"/>
      <c r="B4314" s="33"/>
      <c r="G4314" s="33"/>
    </row>
    <row r="4315" spans="1:7" ht="15.75">
      <c r="A4315" s="33"/>
      <c r="B4315" s="33"/>
      <c r="G4315" s="33"/>
    </row>
    <row r="4316" spans="1:7" ht="15.75">
      <c r="A4316" s="33"/>
      <c r="B4316" s="33"/>
      <c r="G4316" s="33"/>
    </row>
    <row r="4317" spans="1:7" ht="15.75">
      <c r="A4317" s="33"/>
      <c r="B4317" s="33"/>
      <c r="G4317" s="33"/>
    </row>
    <row r="4318" spans="1:7" ht="15.75">
      <c r="A4318" s="33"/>
      <c r="B4318" s="33"/>
      <c r="G4318" s="33"/>
    </row>
    <row r="4319" spans="1:7" ht="15.75">
      <c r="A4319" s="33"/>
      <c r="B4319" s="33"/>
      <c r="G4319" s="33"/>
    </row>
    <row r="4320" spans="1:7" ht="15.75">
      <c r="A4320" s="33"/>
      <c r="B4320" s="33"/>
      <c r="G4320" s="33"/>
    </row>
    <row r="4321" spans="1:7" ht="15.75">
      <c r="A4321" s="33"/>
      <c r="B4321" s="33"/>
      <c r="G4321" s="33"/>
    </row>
    <row r="4322" spans="1:7" ht="15.75">
      <c r="A4322" s="33"/>
      <c r="B4322" s="33"/>
      <c r="G4322" s="33"/>
    </row>
    <row r="4323" spans="1:7" ht="15.75">
      <c r="A4323" s="33"/>
      <c r="B4323" s="33"/>
      <c r="G4323" s="33"/>
    </row>
    <row r="4324" spans="1:7" ht="15.75">
      <c r="A4324" s="33"/>
      <c r="B4324" s="33"/>
      <c r="G4324" s="33"/>
    </row>
    <row r="4325" spans="1:7" ht="15.75">
      <c r="A4325" s="33"/>
      <c r="B4325" s="33"/>
      <c r="G4325" s="33"/>
    </row>
    <row r="4326" spans="1:7" ht="15.75">
      <c r="A4326" s="33"/>
      <c r="B4326" s="33"/>
      <c r="G4326" s="33"/>
    </row>
    <row r="4327" spans="1:7" ht="15.75">
      <c r="A4327" s="33"/>
      <c r="B4327" s="33"/>
      <c r="G4327" s="33"/>
    </row>
    <row r="4328" spans="1:7" ht="15.75">
      <c r="A4328" s="33"/>
      <c r="B4328" s="33"/>
      <c r="G4328" s="33"/>
    </row>
    <row r="4329" spans="1:7" ht="15.75">
      <c r="A4329" s="33"/>
      <c r="B4329" s="33"/>
      <c r="G4329" s="33"/>
    </row>
    <row r="4330" spans="1:7" ht="15.75">
      <c r="A4330" s="33"/>
      <c r="B4330" s="33"/>
      <c r="G4330" s="33"/>
    </row>
    <row r="4331" spans="1:7" ht="15.75">
      <c r="A4331" s="33"/>
      <c r="B4331" s="33"/>
      <c r="G4331" s="33"/>
    </row>
    <row r="4332" spans="1:7" ht="15.75">
      <c r="A4332" s="33"/>
      <c r="B4332" s="33"/>
      <c r="G4332" s="33"/>
    </row>
    <row r="4333" spans="1:7" ht="15.75">
      <c r="A4333" s="33"/>
      <c r="B4333" s="33"/>
      <c r="G4333" s="33"/>
    </row>
    <row r="4334" spans="1:7" ht="15.75">
      <c r="A4334" s="33"/>
      <c r="B4334" s="33"/>
      <c r="G4334" s="33"/>
    </row>
    <row r="4335" spans="1:7" ht="15.75">
      <c r="A4335" s="33"/>
      <c r="B4335" s="33"/>
      <c r="G4335" s="33"/>
    </row>
    <row r="4336" spans="1:7" ht="15.75">
      <c r="A4336" s="33"/>
      <c r="B4336" s="33"/>
      <c r="G4336" s="33"/>
    </row>
    <row r="4337" spans="1:7" ht="15.75">
      <c r="A4337" s="33"/>
      <c r="B4337" s="33"/>
      <c r="G4337" s="33"/>
    </row>
    <row r="4338" spans="1:7" ht="15.75">
      <c r="A4338" s="33"/>
      <c r="B4338" s="33"/>
      <c r="G4338" s="33"/>
    </row>
    <row r="4339" spans="1:7" ht="15.75">
      <c r="A4339" s="33"/>
      <c r="B4339" s="33"/>
      <c r="G4339" s="33"/>
    </row>
    <row r="4340" spans="1:7" ht="15.75">
      <c r="A4340" s="33"/>
      <c r="B4340" s="33"/>
      <c r="G4340" s="33"/>
    </row>
    <row r="4341" spans="1:7" ht="15.75">
      <c r="A4341" s="33"/>
      <c r="B4341" s="33"/>
      <c r="G4341" s="33"/>
    </row>
    <row r="4342" spans="1:7" ht="15.75">
      <c r="A4342" s="33"/>
      <c r="B4342" s="33"/>
      <c r="G4342" s="33"/>
    </row>
    <row r="4343" spans="1:7" ht="15.75">
      <c r="A4343" s="33"/>
      <c r="B4343" s="33"/>
      <c r="G4343" s="33"/>
    </row>
    <row r="4344" spans="1:7" ht="15.75">
      <c r="A4344" s="33"/>
      <c r="B4344" s="33"/>
      <c r="G4344" s="33"/>
    </row>
    <row r="4345" spans="1:7" ht="15.75">
      <c r="A4345" s="33"/>
      <c r="B4345" s="33"/>
      <c r="G4345" s="33"/>
    </row>
    <row r="4346" spans="1:7" ht="15.75">
      <c r="A4346" s="33"/>
      <c r="B4346" s="33"/>
      <c r="G4346" s="33"/>
    </row>
    <row r="4347" spans="1:7" ht="15.75">
      <c r="A4347" s="33"/>
      <c r="B4347" s="33"/>
      <c r="G4347" s="33"/>
    </row>
    <row r="4348" spans="1:7" ht="15.75">
      <c r="A4348" s="33"/>
      <c r="B4348" s="33"/>
      <c r="G4348" s="33"/>
    </row>
    <row r="4349" spans="1:7" ht="15.75">
      <c r="A4349" s="33"/>
      <c r="B4349" s="33"/>
      <c r="G4349" s="33"/>
    </row>
    <row r="4350" spans="1:7" ht="15.75">
      <c r="A4350" s="33"/>
      <c r="B4350" s="33"/>
      <c r="G4350" s="33"/>
    </row>
    <row r="4351" spans="1:7" ht="15.75">
      <c r="A4351" s="33"/>
      <c r="B4351" s="33"/>
      <c r="G4351" s="33"/>
    </row>
    <row r="4352" spans="1:7" ht="15.75">
      <c r="A4352" s="33"/>
      <c r="B4352" s="33"/>
      <c r="G4352" s="33"/>
    </row>
    <row r="4353" spans="1:7" ht="15.75">
      <c r="A4353" s="33"/>
      <c r="B4353" s="33"/>
      <c r="G4353" s="33"/>
    </row>
    <row r="4354" spans="1:7" ht="15.75">
      <c r="A4354" s="33"/>
      <c r="B4354" s="33"/>
      <c r="G4354" s="33"/>
    </row>
    <row r="4355" spans="1:7" ht="15.75">
      <c r="A4355" s="33"/>
      <c r="B4355" s="33"/>
      <c r="G4355" s="33"/>
    </row>
    <row r="4356" spans="1:7" ht="15.75">
      <c r="A4356" s="33"/>
      <c r="B4356" s="33"/>
      <c r="G4356" s="33"/>
    </row>
    <row r="4357" spans="1:7" ht="15.75">
      <c r="A4357" s="33"/>
      <c r="B4357" s="33"/>
      <c r="G4357" s="33"/>
    </row>
    <row r="4358" spans="1:7" ht="15.75">
      <c r="A4358" s="33"/>
      <c r="B4358" s="33"/>
      <c r="G4358" s="33"/>
    </row>
    <row r="4359" spans="1:7" ht="15.75">
      <c r="A4359" s="33"/>
      <c r="B4359" s="33"/>
      <c r="G4359" s="33"/>
    </row>
    <row r="4360" spans="1:7" ht="15.75">
      <c r="A4360" s="33"/>
      <c r="B4360" s="33"/>
      <c r="G4360" s="33"/>
    </row>
    <row r="4361" spans="1:7" ht="15.75">
      <c r="A4361" s="33"/>
      <c r="B4361" s="33"/>
      <c r="G4361" s="33"/>
    </row>
    <row r="4362" spans="1:7" ht="15.75">
      <c r="A4362" s="33"/>
      <c r="B4362" s="33"/>
      <c r="G4362" s="33"/>
    </row>
    <row r="4363" spans="1:7" ht="15.75">
      <c r="A4363" s="33"/>
      <c r="B4363" s="33"/>
      <c r="G4363" s="33"/>
    </row>
    <row r="4364" spans="1:7" ht="15.75">
      <c r="A4364" s="33"/>
      <c r="B4364" s="33"/>
      <c r="G4364" s="33"/>
    </row>
    <row r="4365" spans="1:7" ht="15.75">
      <c r="A4365" s="33"/>
      <c r="B4365" s="33"/>
      <c r="G4365" s="33"/>
    </row>
    <row r="4366" spans="1:7" ht="15.75">
      <c r="A4366" s="33"/>
      <c r="B4366" s="33"/>
      <c r="G4366" s="33"/>
    </row>
    <row r="4367" spans="1:7" ht="15.75">
      <c r="A4367" s="33"/>
      <c r="B4367" s="33"/>
      <c r="G4367" s="33"/>
    </row>
    <row r="4368" spans="1:7" ht="15.75">
      <c r="A4368" s="33"/>
      <c r="B4368" s="33"/>
      <c r="G4368" s="33"/>
    </row>
    <row r="4369" spans="1:7" ht="15.75">
      <c r="A4369" s="33"/>
      <c r="B4369" s="33"/>
      <c r="G4369" s="33"/>
    </row>
    <row r="4370" spans="1:7" ht="15.75">
      <c r="A4370" s="33"/>
      <c r="B4370" s="33"/>
      <c r="G4370" s="33"/>
    </row>
    <row r="4371" spans="1:7" ht="15.75">
      <c r="A4371" s="33"/>
      <c r="B4371" s="33"/>
      <c r="G4371" s="33"/>
    </row>
    <row r="4372" spans="1:7" ht="15.75">
      <c r="A4372" s="33"/>
      <c r="B4372" s="33"/>
      <c r="G4372" s="33"/>
    </row>
    <row r="4373" spans="1:7" ht="15.75">
      <c r="A4373" s="33"/>
      <c r="B4373" s="33"/>
      <c r="G4373" s="33"/>
    </row>
    <row r="4374" spans="1:7" ht="15.75">
      <c r="A4374" s="33"/>
      <c r="B4374" s="33"/>
      <c r="G4374" s="33"/>
    </row>
    <row r="4375" spans="1:7" ht="15.75">
      <c r="A4375" s="33"/>
      <c r="B4375" s="33"/>
      <c r="G4375" s="33"/>
    </row>
    <row r="4376" spans="1:7" ht="15.75">
      <c r="A4376" s="33"/>
      <c r="B4376" s="33"/>
      <c r="G4376" s="33"/>
    </row>
    <row r="4377" spans="1:7" ht="15.75">
      <c r="A4377" s="33"/>
      <c r="B4377" s="33"/>
      <c r="G4377" s="33"/>
    </row>
    <row r="4378" spans="1:7" ht="15.75">
      <c r="A4378" s="33"/>
      <c r="B4378" s="33"/>
      <c r="G4378" s="33"/>
    </row>
    <row r="4379" spans="1:7" ht="15.75">
      <c r="A4379" s="33"/>
      <c r="B4379" s="33"/>
      <c r="G4379" s="33"/>
    </row>
    <row r="4380" spans="1:7" ht="15.75">
      <c r="A4380" s="33"/>
      <c r="B4380" s="33"/>
      <c r="G4380" s="33"/>
    </row>
    <row r="4381" spans="1:7" ht="15.75">
      <c r="A4381" s="33"/>
      <c r="B4381" s="33"/>
      <c r="G4381" s="33"/>
    </row>
    <row r="4382" spans="1:7" ht="15.75">
      <c r="A4382" s="33"/>
      <c r="B4382" s="33"/>
      <c r="G4382" s="33"/>
    </row>
    <row r="4383" spans="1:7" ht="15.75">
      <c r="A4383" s="33"/>
      <c r="B4383" s="33"/>
      <c r="G4383" s="33"/>
    </row>
    <row r="4384" spans="1:7" ht="15.75">
      <c r="A4384" s="33"/>
      <c r="B4384" s="33"/>
      <c r="G4384" s="33"/>
    </row>
    <row r="4385" spans="1:7" ht="15.75">
      <c r="A4385" s="33"/>
      <c r="B4385" s="33"/>
      <c r="G4385" s="33"/>
    </row>
    <row r="4386" spans="1:7" ht="15.75">
      <c r="A4386" s="33"/>
      <c r="B4386" s="33"/>
      <c r="G4386" s="33"/>
    </row>
    <row r="4387" spans="1:7" ht="15.75">
      <c r="A4387" s="33"/>
      <c r="B4387" s="33"/>
      <c r="G4387" s="33"/>
    </row>
    <row r="4388" spans="1:7" ht="15.75">
      <c r="A4388" s="33"/>
      <c r="B4388" s="33"/>
      <c r="G4388" s="33"/>
    </row>
    <row r="4389" spans="1:7" ht="15.75">
      <c r="A4389" s="33"/>
      <c r="B4389" s="33"/>
      <c r="G4389" s="33"/>
    </row>
    <row r="4390" spans="1:7" ht="15.75">
      <c r="A4390" s="33"/>
      <c r="B4390" s="33"/>
      <c r="G4390" s="33"/>
    </row>
    <row r="4391" spans="1:7" ht="15.75">
      <c r="A4391" s="33"/>
      <c r="B4391" s="33"/>
      <c r="G4391" s="33"/>
    </row>
    <row r="4392" spans="1:7" ht="15.75">
      <c r="A4392" s="33"/>
      <c r="B4392" s="33"/>
      <c r="G4392" s="33"/>
    </row>
    <row r="4393" spans="1:7" ht="15.75">
      <c r="A4393" s="33"/>
      <c r="B4393" s="33"/>
      <c r="G4393" s="33"/>
    </row>
    <row r="4394" spans="1:7" ht="15.75">
      <c r="A4394" s="33"/>
      <c r="B4394" s="33"/>
      <c r="G4394" s="33"/>
    </row>
    <row r="4395" spans="1:7" ht="15.75">
      <c r="A4395" s="33"/>
      <c r="B4395" s="33"/>
      <c r="G4395" s="33"/>
    </row>
    <row r="4396" spans="1:7" ht="15.75">
      <c r="A4396" s="33"/>
      <c r="B4396" s="33"/>
      <c r="G4396" s="33"/>
    </row>
    <row r="4397" spans="1:7" ht="15.75">
      <c r="A4397" s="33"/>
      <c r="B4397" s="33"/>
      <c r="G4397" s="33"/>
    </row>
    <row r="4398" spans="1:7" ht="15.75">
      <c r="A4398" s="33"/>
      <c r="B4398" s="33"/>
      <c r="G4398" s="33"/>
    </row>
    <row r="4399" spans="1:7" ht="15.75">
      <c r="A4399" s="33"/>
      <c r="B4399" s="33"/>
      <c r="G4399" s="33"/>
    </row>
    <row r="4400" spans="1:7" ht="15.75">
      <c r="A4400" s="33"/>
      <c r="B4400" s="33"/>
      <c r="G4400" s="33"/>
    </row>
    <row r="4401" spans="1:7" ht="15.75">
      <c r="A4401" s="33"/>
      <c r="B4401" s="33"/>
      <c r="G4401" s="33"/>
    </row>
    <row r="4402" spans="1:7" ht="15.75">
      <c r="A4402" s="33"/>
      <c r="B4402" s="33"/>
      <c r="G4402" s="33"/>
    </row>
    <row r="4403" spans="1:7" ht="15.75">
      <c r="A4403" s="33"/>
      <c r="B4403" s="33"/>
      <c r="G4403" s="33"/>
    </row>
    <row r="4404" spans="1:7" ht="15.75">
      <c r="A4404" s="33"/>
      <c r="B4404" s="33"/>
      <c r="G4404" s="33"/>
    </row>
    <row r="4405" spans="1:7" ht="15.75">
      <c r="A4405" s="33"/>
      <c r="B4405" s="33"/>
      <c r="G4405" s="33"/>
    </row>
    <row r="4406" spans="1:7" ht="15.75">
      <c r="A4406" s="33"/>
      <c r="B4406" s="33"/>
      <c r="G4406" s="33"/>
    </row>
    <row r="4407" spans="1:7" ht="15.75">
      <c r="A4407" s="33"/>
      <c r="B4407" s="33"/>
      <c r="G4407" s="33"/>
    </row>
    <row r="4408" spans="1:7" ht="15.75">
      <c r="A4408" s="33"/>
      <c r="B4408" s="33"/>
      <c r="G4408" s="33"/>
    </row>
    <row r="4409" spans="1:7" ht="15.75">
      <c r="A4409" s="33"/>
      <c r="B4409" s="33"/>
      <c r="G4409" s="33"/>
    </row>
    <row r="4410" spans="1:7" ht="15.75">
      <c r="A4410" s="33"/>
      <c r="B4410" s="33"/>
      <c r="G4410" s="33"/>
    </row>
    <row r="4411" spans="1:7" ht="15.75">
      <c r="A4411" s="33"/>
      <c r="B4411" s="33"/>
      <c r="G4411" s="33"/>
    </row>
    <row r="4412" spans="1:7" ht="15.75">
      <c r="A4412" s="33"/>
      <c r="B4412" s="33"/>
      <c r="G4412" s="33"/>
    </row>
    <row r="4413" spans="1:7" ht="15.75">
      <c r="A4413" s="33"/>
      <c r="B4413" s="33"/>
      <c r="G4413" s="33"/>
    </row>
    <row r="4414" spans="1:7" ht="15.75">
      <c r="A4414" s="33"/>
      <c r="B4414" s="33"/>
      <c r="G4414" s="33"/>
    </row>
    <row r="4415" spans="1:7" ht="15.75">
      <c r="A4415" s="33"/>
      <c r="B4415" s="33"/>
      <c r="G4415" s="33"/>
    </row>
    <row r="4416" spans="1:7" ht="15.75">
      <c r="A4416" s="33"/>
      <c r="B4416" s="33"/>
      <c r="G4416" s="33"/>
    </row>
    <row r="4417" spans="1:7" ht="15.75">
      <c r="A4417" s="33"/>
      <c r="B4417" s="33"/>
      <c r="G4417" s="33"/>
    </row>
    <row r="4418" spans="1:7" ht="15.75">
      <c r="A4418" s="33"/>
      <c r="B4418" s="33"/>
      <c r="G4418" s="33"/>
    </row>
    <row r="4419" spans="1:7" ht="15.75">
      <c r="A4419" s="33"/>
      <c r="B4419" s="33"/>
      <c r="G4419" s="33"/>
    </row>
    <row r="4420" spans="1:7" ht="15.75">
      <c r="A4420" s="33"/>
      <c r="B4420" s="33"/>
      <c r="G4420" s="33"/>
    </row>
    <row r="4421" spans="1:7" ht="15.75">
      <c r="A4421" s="33"/>
      <c r="B4421" s="33"/>
      <c r="G4421" s="33"/>
    </row>
    <row r="4422" spans="1:7" ht="15.75">
      <c r="A4422" s="33"/>
      <c r="B4422" s="33"/>
      <c r="G4422" s="33"/>
    </row>
    <row r="4423" spans="1:7" ht="15.75">
      <c r="A4423" s="33"/>
      <c r="B4423" s="33"/>
      <c r="G4423" s="33"/>
    </row>
    <row r="4424" spans="1:7" ht="15.75">
      <c r="A4424" s="33"/>
      <c r="B4424" s="33"/>
      <c r="G4424" s="33"/>
    </row>
    <row r="4425" spans="1:7" ht="15.75">
      <c r="A4425" s="33"/>
      <c r="B4425" s="33"/>
      <c r="G4425" s="33"/>
    </row>
    <row r="4426" spans="1:7" ht="15.75">
      <c r="A4426" s="33"/>
      <c r="B4426" s="33"/>
      <c r="G4426" s="33"/>
    </row>
    <row r="4427" spans="1:7" ht="15.75">
      <c r="A4427" s="33"/>
      <c r="B4427" s="33"/>
      <c r="G4427" s="33"/>
    </row>
    <row r="4428" spans="1:7" ht="15.75">
      <c r="A4428" s="33"/>
      <c r="B4428" s="33"/>
      <c r="G4428" s="33"/>
    </row>
    <row r="4429" spans="1:7" ht="15.75">
      <c r="A4429" s="33"/>
      <c r="B4429" s="33"/>
      <c r="G4429" s="33"/>
    </row>
    <row r="4430" spans="1:7" ht="15.75">
      <c r="A4430" s="33"/>
      <c r="B4430" s="33"/>
      <c r="G4430" s="33"/>
    </row>
    <row r="4431" spans="1:7" ht="15.75">
      <c r="A4431" s="33"/>
      <c r="B4431" s="33"/>
      <c r="G4431" s="33"/>
    </row>
    <row r="4432" spans="1:7" ht="15.75">
      <c r="A4432" s="33"/>
      <c r="B4432" s="33"/>
      <c r="G4432" s="33"/>
    </row>
    <row r="4433" spans="1:7" ht="15.75">
      <c r="A4433" s="33"/>
      <c r="B4433" s="33"/>
      <c r="G4433" s="33"/>
    </row>
    <row r="4434" spans="1:7" ht="15.75">
      <c r="A4434" s="33"/>
      <c r="B4434" s="33"/>
      <c r="G4434" s="33"/>
    </row>
    <row r="4435" spans="1:7" ht="15.75">
      <c r="A4435" s="33"/>
      <c r="B4435" s="33"/>
      <c r="G4435" s="33"/>
    </row>
    <row r="4436" spans="1:7" ht="15.75">
      <c r="A4436" s="33"/>
      <c r="B4436" s="33"/>
      <c r="G4436" s="33"/>
    </row>
    <row r="4437" spans="1:7" ht="15.75">
      <c r="A4437" s="33"/>
      <c r="B4437" s="33"/>
      <c r="G4437" s="33"/>
    </row>
    <row r="4438" spans="1:7" ht="15.75">
      <c r="A4438" s="33"/>
      <c r="B4438" s="33"/>
      <c r="G4438" s="33"/>
    </row>
    <row r="4439" spans="1:7" ht="15.75">
      <c r="A4439" s="33"/>
      <c r="B4439" s="33"/>
      <c r="G4439" s="33"/>
    </row>
    <row r="4440" spans="1:7" ht="15.75">
      <c r="A4440" s="33"/>
      <c r="B4440" s="33"/>
      <c r="G4440" s="33"/>
    </row>
    <row r="4441" spans="1:7" ht="15.75">
      <c r="A4441" s="33"/>
      <c r="B4441" s="33"/>
      <c r="G4441" s="33"/>
    </row>
    <row r="4442" spans="1:7" ht="15.75">
      <c r="A4442" s="33"/>
      <c r="B4442" s="33"/>
      <c r="G4442" s="33"/>
    </row>
    <row r="4443" spans="1:7" ht="15.75">
      <c r="A4443" s="33"/>
      <c r="B4443" s="33"/>
      <c r="G4443" s="33"/>
    </row>
    <row r="4444" spans="1:7" ht="15.75">
      <c r="A4444" s="33"/>
      <c r="B4444" s="33"/>
      <c r="G4444" s="33"/>
    </row>
    <row r="4445" spans="1:7" ht="15.75">
      <c r="A4445" s="33"/>
      <c r="B4445" s="33"/>
      <c r="G4445" s="33"/>
    </row>
    <row r="4446" spans="1:7" ht="15.75">
      <c r="A4446" s="33"/>
      <c r="B4446" s="33"/>
      <c r="G4446" s="33"/>
    </row>
    <row r="4447" spans="1:7" ht="15.75">
      <c r="A4447" s="33"/>
      <c r="B4447" s="33"/>
      <c r="G4447" s="33"/>
    </row>
    <row r="4448" spans="1:7" ht="15.75">
      <c r="A4448" s="33"/>
      <c r="B4448" s="33"/>
      <c r="G4448" s="33"/>
    </row>
    <row r="4449" spans="1:7" ht="15.75">
      <c r="A4449" s="33"/>
      <c r="B4449" s="33"/>
      <c r="G4449" s="33"/>
    </row>
    <row r="4450" spans="1:7" ht="15.75">
      <c r="A4450" s="33"/>
      <c r="B4450" s="33"/>
      <c r="G4450" s="33"/>
    </row>
    <row r="4451" spans="1:7" ht="15.75">
      <c r="A4451" s="33"/>
      <c r="B4451" s="33"/>
      <c r="G4451" s="33"/>
    </row>
    <row r="4452" spans="1:7" ht="15.75">
      <c r="A4452" s="33"/>
      <c r="B4452" s="33"/>
      <c r="G4452" s="33"/>
    </row>
    <row r="4453" spans="1:7" ht="15.75">
      <c r="A4453" s="33"/>
      <c r="B4453" s="33"/>
      <c r="G4453" s="33"/>
    </row>
    <row r="4454" spans="1:7" ht="15.75">
      <c r="A4454" s="33"/>
      <c r="B4454" s="33"/>
      <c r="G4454" s="33"/>
    </row>
    <row r="4455" spans="1:7" ht="15.75">
      <c r="A4455" s="33"/>
      <c r="B4455" s="33"/>
      <c r="G4455" s="33"/>
    </row>
    <row r="4456" spans="1:7" ht="15.75">
      <c r="A4456" s="33"/>
      <c r="B4456" s="33"/>
      <c r="G4456" s="33"/>
    </row>
    <row r="4457" spans="1:7" ht="15.75">
      <c r="A4457" s="33"/>
      <c r="B4457" s="33"/>
      <c r="G4457" s="33"/>
    </row>
    <row r="4458" spans="1:7" ht="15.75">
      <c r="A4458" s="33"/>
      <c r="B4458" s="33"/>
      <c r="G4458" s="33"/>
    </row>
    <row r="4459" spans="1:7" ht="15.75">
      <c r="A4459" s="33"/>
      <c r="B4459" s="33"/>
      <c r="G4459" s="33"/>
    </row>
    <row r="4460" spans="1:7" ht="15.75">
      <c r="A4460" s="33"/>
      <c r="B4460" s="33"/>
      <c r="G4460" s="33"/>
    </row>
    <row r="4461" spans="1:7" ht="15.75">
      <c r="A4461" s="33"/>
      <c r="B4461" s="33"/>
      <c r="G4461" s="33"/>
    </row>
    <row r="4462" spans="1:7" ht="15.75">
      <c r="A4462" s="33"/>
      <c r="B4462" s="33"/>
      <c r="G4462" s="33"/>
    </row>
    <row r="4463" spans="1:7" ht="15.75">
      <c r="A4463" s="33"/>
      <c r="B4463" s="33"/>
      <c r="G4463" s="33"/>
    </row>
    <row r="4464" spans="1:7" ht="15.75">
      <c r="A4464" s="33"/>
      <c r="B4464" s="33"/>
      <c r="G4464" s="33"/>
    </row>
    <row r="4465" spans="1:7" ht="15.75">
      <c r="A4465" s="33"/>
      <c r="B4465" s="33"/>
      <c r="G4465" s="33"/>
    </row>
    <row r="4466" spans="1:7" ht="15.75">
      <c r="A4466" s="33"/>
      <c r="B4466" s="33"/>
      <c r="G4466" s="33"/>
    </row>
    <row r="4467" spans="1:7" ht="15.75">
      <c r="A4467" s="33"/>
      <c r="B4467" s="33"/>
      <c r="G4467" s="33"/>
    </row>
    <row r="4468" spans="1:7" ht="15.75">
      <c r="A4468" s="33"/>
      <c r="B4468" s="33"/>
      <c r="G4468" s="33"/>
    </row>
    <row r="4469" spans="1:7" ht="15.75">
      <c r="A4469" s="33"/>
      <c r="B4469" s="33"/>
      <c r="G4469" s="33"/>
    </row>
    <row r="4470" spans="1:7" ht="15.75">
      <c r="A4470" s="33"/>
      <c r="B4470" s="33"/>
      <c r="G4470" s="33"/>
    </row>
    <row r="4471" spans="1:7" ht="15.75">
      <c r="A4471" s="33"/>
      <c r="B4471" s="33"/>
      <c r="G4471" s="33"/>
    </row>
    <row r="4472" spans="1:7" ht="15.75">
      <c r="A4472" s="33"/>
      <c r="B4472" s="33"/>
      <c r="G4472" s="33"/>
    </row>
    <row r="4473" spans="1:7" ht="15.75">
      <c r="A4473" s="33"/>
      <c r="B4473" s="33"/>
      <c r="G4473" s="33"/>
    </row>
    <row r="4474" spans="1:7" ht="15.75">
      <c r="A4474" s="33"/>
      <c r="B4474" s="33"/>
      <c r="G4474" s="33"/>
    </row>
    <row r="4475" spans="1:7" ht="15.75">
      <c r="A4475" s="33"/>
      <c r="B4475" s="33"/>
      <c r="G4475" s="33"/>
    </row>
    <row r="4476" spans="1:7" ht="15.75">
      <c r="A4476" s="33"/>
      <c r="B4476" s="33"/>
      <c r="G4476" s="33"/>
    </row>
    <row r="4477" spans="1:7" ht="15.75">
      <c r="A4477" s="33"/>
      <c r="B4477" s="33"/>
      <c r="G4477" s="33"/>
    </row>
    <row r="4478" spans="1:7" ht="15.75">
      <c r="A4478" s="33"/>
      <c r="B4478" s="33"/>
      <c r="G4478" s="33"/>
    </row>
    <row r="4479" spans="1:7" ht="15.75">
      <c r="A4479" s="33"/>
      <c r="B4479" s="33"/>
      <c r="G4479" s="33"/>
    </row>
    <row r="4480" spans="1:7" ht="15.75">
      <c r="A4480" s="33"/>
      <c r="B4480" s="33"/>
      <c r="G4480" s="33"/>
    </row>
    <row r="4481" spans="1:7" ht="15.75">
      <c r="A4481" s="33"/>
      <c r="B4481" s="33"/>
      <c r="G4481" s="33"/>
    </row>
    <row r="4482" spans="1:7" ht="15.75">
      <c r="A4482" s="33"/>
      <c r="B4482" s="33"/>
      <c r="G4482" s="33"/>
    </row>
    <row r="4483" spans="1:7" ht="15.75">
      <c r="A4483" s="33"/>
      <c r="B4483" s="33"/>
      <c r="G4483" s="33"/>
    </row>
    <row r="4484" spans="1:7" ht="15.75">
      <c r="A4484" s="33"/>
      <c r="B4484" s="33"/>
      <c r="G4484" s="33"/>
    </row>
    <row r="4485" spans="1:7" ht="15.75">
      <c r="A4485" s="33"/>
      <c r="B4485" s="33"/>
      <c r="G4485" s="33"/>
    </row>
    <row r="4486" spans="1:7" ht="15.75">
      <c r="A4486" s="33"/>
      <c r="B4486" s="33"/>
      <c r="G4486" s="33"/>
    </row>
    <row r="4487" spans="1:7" ht="15.75">
      <c r="A4487" s="33"/>
      <c r="B4487" s="33"/>
      <c r="G4487" s="33"/>
    </row>
    <row r="4488" spans="1:7" ht="15.75">
      <c r="A4488" s="33"/>
      <c r="B4488" s="33"/>
      <c r="G4488" s="33"/>
    </row>
    <row r="4489" spans="1:7" ht="15.75">
      <c r="A4489" s="33"/>
      <c r="B4489" s="33"/>
      <c r="G4489" s="33"/>
    </row>
    <row r="4490" spans="1:7" ht="15.75">
      <c r="A4490" s="33"/>
      <c r="B4490" s="33"/>
      <c r="G4490" s="33"/>
    </row>
    <row r="4491" spans="1:7" ht="15.75">
      <c r="A4491" s="33"/>
      <c r="B4491" s="33"/>
      <c r="G4491" s="33"/>
    </row>
    <row r="4492" spans="1:7" ht="15.75">
      <c r="A4492" s="33"/>
      <c r="B4492" s="33"/>
      <c r="G4492" s="33"/>
    </row>
    <row r="4493" spans="1:7" ht="15.75">
      <c r="A4493" s="33"/>
      <c r="B4493" s="33"/>
      <c r="G4493" s="33"/>
    </row>
    <row r="4494" spans="1:7" ht="15.75">
      <c r="A4494" s="33"/>
      <c r="B4494" s="33"/>
      <c r="G4494" s="33"/>
    </row>
    <row r="4495" spans="1:7" ht="15.75">
      <c r="A4495" s="33"/>
      <c r="B4495" s="33"/>
      <c r="G4495" s="33"/>
    </row>
    <row r="4496" spans="1:7" ht="15.75">
      <c r="A4496" s="33"/>
      <c r="B4496" s="33"/>
      <c r="G4496" s="33"/>
    </row>
    <row r="4497" spans="1:7" ht="15.75">
      <c r="A4497" s="33"/>
      <c r="B4497" s="33"/>
      <c r="G4497" s="33"/>
    </row>
    <row r="4498" spans="1:7" ht="15.75">
      <c r="A4498" s="33"/>
      <c r="B4498" s="33"/>
      <c r="G4498" s="33"/>
    </row>
    <row r="4499" spans="1:7" ht="15.75">
      <c r="A4499" s="33"/>
      <c r="B4499" s="33"/>
      <c r="G4499" s="33"/>
    </row>
    <row r="4500" spans="1:7" ht="15.75">
      <c r="A4500" s="33"/>
      <c r="B4500" s="33"/>
      <c r="G4500" s="33"/>
    </row>
    <row r="4501" spans="1:7" ht="15.75">
      <c r="A4501" s="33"/>
      <c r="B4501" s="33"/>
      <c r="G4501" s="33"/>
    </row>
    <row r="4502" spans="1:7" ht="15.75">
      <c r="A4502" s="33"/>
      <c r="B4502" s="33"/>
      <c r="G4502" s="33"/>
    </row>
    <row r="4503" spans="1:7" ht="15.75">
      <c r="A4503" s="33"/>
      <c r="B4503" s="33"/>
      <c r="G4503" s="33"/>
    </row>
    <row r="4504" spans="1:7" ht="15.75">
      <c r="A4504" s="33"/>
      <c r="B4504" s="33"/>
      <c r="G4504" s="33"/>
    </row>
    <row r="4505" spans="1:7" ht="15.75">
      <c r="A4505" s="33"/>
      <c r="B4505" s="33"/>
      <c r="G4505" s="33"/>
    </row>
    <row r="4506" spans="1:7" ht="15.75">
      <c r="A4506" s="33"/>
      <c r="B4506" s="33"/>
      <c r="G4506" s="33"/>
    </row>
    <row r="4507" spans="1:7" ht="15.75">
      <c r="A4507" s="33"/>
      <c r="B4507" s="33"/>
      <c r="G4507" s="33"/>
    </row>
    <row r="4508" spans="1:7" ht="15.75">
      <c r="A4508" s="33"/>
      <c r="B4508" s="33"/>
      <c r="G4508" s="33"/>
    </row>
    <row r="4509" spans="1:7" ht="15.75">
      <c r="A4509" s="33"/>
      <c r="B4509" s="33"/>
      <c r="G4509" s="33"/>
    </row>
    <row r="4510" spans="1:7" ht="15.75">
      <c r="A4510" s="33"/>
      <c r="B4510" s="33"/>
      <c r="G4510" s="33"/>
    </row>
    <row r="4511" spans="1:7" ht="15.75">
      <c r="A4511" s="33"/>
      <c r="B4511" s="33"/>
      <c r="G4511" s="33"/>
    </row>
    <row r="4512" spans="1:7" ht="15.75">
      <c r="A4512" s="33"/>
      <c r="B4512" s="33"/>
      <c r="G4512" s="33"/>
    </row>
    <row r="4513" spans="1:7" ht="15.75">
      <c r="A4513" s="33"/>
      <c r="B4513" s="33"/>
      <c r="G4513" s="33"/>
    </row>
    <row r="4514" spans="1:7" ht="15.75">
      <c r="A4514" s="33"/>
      <c r="B4514" s="33"/>
      <c r="G4514" s="33"/>
    </row>
    <row r="4515" spans="1:7" ht="15.75">
      <c r="A4515" s="33"/>
      <c r="B4515" s="33"/>
      <c r="G4515" s="33"/>
    </row>
    <row r="4516" spans="1:7" ht="15.75">
      <c r="A4516" s="33"/>
      <c r="B4516" s="33"/>
      <c r="G4516" s="33"/>
    </row>
    <row r="4517" spans="1:7" ht="15.75">
      <c r="A4517" s="33"/>
      <c r="B4517" s="33"/>
      <c r="G4517" s="33"/>
    </row>
    <row r="4518" spans="1:7" ht="15.75">
      <c r="A4518" s="33"/>
      <c r="B4518" s="33"/>
      <c r="G4518" s="33"/>
    </row>
    <row r="4519" spans="1:7" ht="15.75">
      <c r="A4519" s="33"/>
      <c r="B4519" s="33"/>
      <c r="G4519" s="33"/>
    </row>
    <row r="4520" spans="1:7" ht="15.75">
      <c r="A4520" s="33"/>
      <c r="B4520" s="33"/>
      <c r="G4520" s="33"/>
    </row>
    <row r="4521" spans="1:7" ht="15.75">
      <c r="A4521" s="33"/>
      <c r="B4521" s="33"/>
      <c r="G4521" s="33"/>
    </row>
    <row r="4522" spans="1:7" ht="15.75">
      <c r="A4522" s="33"/>
      <c r="B4522" s="33"/>
      <c r="G4522" s="33"/>
    </row>
    <row r="4523" spans="1:7" ht="15.75">
      <c r="A4523" s="33"/>
      <c r="B4523" s="33"/>
      <c r="G4523" s="33"/>
    </row>
    <row r="4524" spans="1:7" ht="15.75">
      <c r="A4524" s="33"/>
      <c r="B4524" s="33"/>
      <c r="G4524" s="33"/>
    </row>
    <row r="4525" spans="1:7" ht="15.75">
      <c r="A4525" s="33"/>
      <c r="B4525" s="33"/>
      <c r="G4525" s="33"/>
    </row>
    <row r="4526" spans="1:7" ht="15.75">
      <c r="A4526" s="33"/>
      <c r="B4526" s="33"/>
      <c r="G4526" s="33"/>
    </row>
    <row r="4527" spans="1:7" ht="15.75">
      <c r="A4527" s="33"/>
      <c r="B4527" s="33"/>
      <c r="G4527" s="33"/>
    </row>
    <row r="4528" spans="1:7" ht="15.75">
      <c r="A4528" s="33"/>
      <c r="B4528" s="33"/>
      <c r="G4528" s="33"/>
    </row>
    <row r="4529" spans="1:7" ht="15.75">
      <c r="A4529" s="33"/>
      <c r="B4529" s="33"/>
      <c r="G4529" s="33"/>
    </row>
    <row r="4530" spans="1:7" ht="15.75">
      <c r="A4530" s="33"/>
      <c r="B4530" s="33"/>
      <c r="G4530" s="33"/>
    </row>
    <row r="4531" spans="1:7" ht="15.75">
      <c r="A4531" s="33"/>
      <c r="B4531" s="33"/>
      <c r="G4531" s="33"/>
    </row>
    <row r="4532" spans="1:7" ht="15.75">
      <c r="A4532" s="33"/>
      <c r="B4532" s="33"/>
      <c r="G4532" s="33"/>
    </row>
    <row r="4533" spans="1:7" ht="15.75">
      <c r="A4533" s="33"/>
      <c r="B4533" s="33"/>
      <c r="G4533" s="33"/>
    </row>
    <row r="4534" spans="1:7" ht="15.75">
      <c r="A4534" s="33"/>
      <c r="B4534" s="33"/>
      <c r="G4534" s="33"/>
    </row>
    <row r="4535" spans="1:7" ht="15.75">
      <c r="A4535" s="33"/>
      <c r="B4535" s="33"/>
      <c r="G4535" s="33"/>
    </row>
    <row r="4536" spans="1:7" ht="15.75">
      <c r="A4536" s="33"/>
      <c r="B4536" s="33"/>
      <c r="G4536" s="33"/>
    </row>
    <row r="4537" spans="1:7" ht="15.75">
      <c r="A4537" s="33"/>
      <c r="B4537" s="33"/>
      <c r="G4537" s="33"/>
    </row>
    <row r="4538" spans="1:7" ht="15.75">
      <c r="A4538" s="33"/>
      <c r="B4538" s="33"/>
      <c r="G4538" s="33"/>
    </row>
    <row r="4539" spans="1:7" ht="15.75">
      <c r="A4539" s="33"/>
      <c r="B4539" s="33"/>
      <c r="G4539" s="33"/>
    </row>
    <row r="4540" spans="1:7" ht="15.75">
      <c r="A4540" s="33"/>
      <c r="B4540" s="33"/>
      <c r="G4540" s="33"/>
    </row>
    <row r="4541" spans="1:7" ht="15.75">
      <c r="A4541" s="33"/>
      <c r="B4541" s="33"/>
      <c r="G4541" s="33"/>
    </row>
    <row r="4542" spans="1:7" ht="15.75">
      <c r="A4542" s="33"/>
      <c r="B4542" s="33"/>
      <c r="G4542" s="33"/>
    </row>
    <row r="4543" spans="1:7" ht="15.75">
      <c r="A4543" s="33"/>
      <c r="B4543" s="33"/>
      <c r="G4543" s="33"/>
    </row>
    <row r="4544" spans="1:7" ht="15.75">
      <c r="A4544" s="33"/>
      <c r="B4544" s="33"/>
      <c r="G4544" s="33"/>
    </row>
    <row r="4545" spans="1:7" ht="15.75">
      <c r="A4545" s="33"/>
      <c r="B4545" s="33"/>
      <c r="G4545" s="33"/>
    </row>
    <row r="4546" spans="1:7" ht="15.75">
      <c r="A4546" s="33"/>
      <c r="B4546" s="33"/>
      <c r="G4546" s="33"/>
    </row>
    <row r="4547" spans="1:7" ht="15.75">
      <c r="A4547" s="33"/>
      <c r="B4547" s="33"/>
      <c r="G4547" s="33"/>
    </row>
    <row r="4548" spans="1:7" ht="15.75">
      <c r="A4548" s="33"/>
      <c r="B4548" s="33"/>
      <c r="G4548" s="33"/>
    </row>
    <row r="4549" spans="1:7" ht="15.75">
      <c r="A4549" s="33"/>
      <c r="B4549" s="33"/>
      <c r="G4549" s="33"/>
    </row>
    <row r="4550" spans="1:7" ht="15.75">
      <c r="A4550" s="33"/>
      <c r="B4550" s="33"/>
      <c r="G4550" s="33"/>
    </row>
    <row r="4551" spans="1:7" ht="15.75">
      <c r="A4551" s="33"/>
      <c r="B4551" s="33"/>
      <c r="G4551" s="33"/>
    </row>
    <row r="4552" spans="1:7" ht="15.75">
      <c r="A4552" s="33"/>
      <c r="B4552" s="33"/>
      <c r="G4552" s="33"/>
    </row>
    <row r="4553" spans="1:7" ht="15.75">
      <c r="A4553" s="33"/>
      <c r="B4553" s="33"/>
      <c r="G4553" s="33"/>
    </row>
    <row r="4554" spans="1:7" ht="15.75">
      <c r="A4554" s="33"/>
      <c r="B4554" s="33"/>
      <c r="G4554" s="33"/>
    </row>
    <row r="4555" spans="1:7" ht="15.75">
      <c r="A4555" s="33"/>
      <c r="B4555" s="33"/>
      <c r="G4555" s="33"/>
    </row>
    <row r="4556" spans="1:7" ht="15.75">
      <c r="A4556" s="33"/>
      <c r="B4556" s="33"/>
      <c r="G4556" s="33"/>
    </row>
    <row r="4557" spans="1:7" ht="15.75">
      <c r="A4557" s="33"/>
      <c r="B4557" s="33"/>
      <c r="G4557" s="33"/>
    </row>
    <row r="4558" spans="1:7" ht="15.75">
      <c r="A4558" s="33"/>
      <c r="B4558" s="33"/>
      <c r="G4558" s="33"/>
    </row>
    <row r="4559" spans="1:7" ht="15.75">
      <c r="A4559" s="33"/>
      <c r="B4559" s="33"/>
      <c r="G4559" s="33"/>
    </row>
    <row r="4560" spans="1:7" ht="15.75">
      <c r="A4560" s="33"/>
      <c r="B4560" s="33"/>
      <c r="G4560" s="33"/>
    </row>
    <row r="4561" spans="1:7" ht="15.75">
      <c r="A4561" s="33"/>
      <c r="B4561" s="33"/>
      <c r="G4561" s="33"/>
    </row>
    <row r="4562" spans="1:7" ht="15.75">
      <c r="A4562" s="33"/>
      <c r="B4562" s="33"/>
      <c r="G4562" s="33"/>
    </row>
    <row r="4563" spans="1:7" ht="15.75">
      <c r="A4563" s="33"/>
      <c r="B4563" s="33"/>
      <c r="G4563" s="33"/>
    </row>
    <row r="4564" spans="1:7" ht="15.75">
      <c r="A4564" s="33"/>
      <c r="B4564" s="33"/>
      <c r="G4564" s="33"/>
    </row>
    <row r="4565" spans="1:7" ht="15.75">
      <c r="A4565" s="33"/>
      <c r="B4565" s="33"/>
      <c r="G4565" s="33"/>
    </row>
    <row r="4566" spans="1:7" ht="15.75">
      <c r="A4566" s="33"/>
      <c r="B4566" s="33"/>
      <c r="G4566" s="33"/>
    </row>
    <row r="4567" spans="1:7" ht="15.75">
      <c r="A4567" s="33"/>
      <c r="B4567" s="33"/>
      <c r="G4567" s="33"/>
    </row>
    <row r="4568" spans="1:7" ht="15.75">
      <c r="A4568" s="33"/>
      <c r="B4568" s="33"/>
      <c r="G4568" s="33"/>
    </row>
    <row r="4569" spans="1:7" ht="15.75">
      <c r="A4569" s="33"/>
      <c r="B4569" s="33"/>
      <c r="G4569" s="33"/>
    </row>
    <row r="4570" spans="1:7" ht="15.75">
      <c r="A4570" s="33"/>
      <c r="B4570" s="33"/>
      <c r="G4570" s="33"/>
    </row>
    <row r="4571" spans="1:7" ht="15.75">
      <c r="A4571" s="33"/>
      <c r="B4571" s="33"/>
      <c r="G4571" s="33"/>
    </row>
    <row r="4572" spans="1:7" ht="15.75">
      <c r="A4572" s="33"/>
      <c r="B4572" s="33"/>
      <c r="G4572" s="33"/>
    </row>
    <row r="4573" spans="1:7" ht="15.75">
      <c r="A4573" s="33"/>
      <c r="B4573" s="33"/>
      <c r="G4573" s="33"/>
    </row>
    <row r="4574" spans="1:7" ht="15.75">
      <c r="A4574" s="33"/>
      <c r="B4574" s="33"/>
      <c r="G4574" s="33"/>
    </row>
    <row r="4575" spans="1:7" ht="15.75">
      <c r="A4575" s="33"/>
      <c r="B4575" s="33"/>
      <c r="G4575" s="33"/>
    </row>
    <row r="4576" spans="1:7" ht="15.75">
      <c r="A4576" s="33"/>
      <c r="B4576" s="33"/>
      <c r="G4576" s="33"/>
    </row>
    <row r="4577" spans="1:7" ht="15.75">
      <c r="A4577" s="33"/>
      <c r="B4577" s="33"/>
      <c r="G4577" s="33"/>
    </row>
    <row r="4578" spans="1:7" ht="15.75">
      <c r="A4578" s="33"/>
      <c r="B4578" s="33"/>
      <c r="G4578" s="33"/>
    </row>
    <row r="4579" spans="1:7" ht="15.75">
      <c r="A4579" s="33"/>
      <c r="B4579" s="33"/>
      <c r="G4579" s="33"/>
    </row>
    <row r="4580" spans="1:7" ht="15.75">
      <c r="A4580" s="33"/>
      <c r="B4580" s="33"/>
      <c r="G4580" s="33"/>
    </row>
    <row r="4581" spans="1:7" ht="15.75">
      <c r="A4581" s="33"/>
      <c r="B4581" s="33"/>
      <c r="G4581" s="33"/>
    </row>
    <row r="4582" spans="1:7" ht="15.75">
      <c r="A4582" s="33"/>
      <c r="B4582" s="33"/>
      <c r="G4582" s="33"/>
    </row>
    <row r="4583" spans="1:7" ht="15.75">
      <c r="A4583" s="33"/>
      <c r="B4583" s="33"/>
      <c r="G4583" s="33"/>
    </row>
    <row r="4584" spans="1:7" ht="15.75">
      <c r="A4584" s="33"/>
      <c r="B4584" s="33"/>
      <c r="G4584" s="33"/>
    </row>
    <row r="4585" spans="1:7" ht="15.75">
      <c r="A4585" s="33"/>
      <c r="B4585" s="33"/>
      <c r="G4585" s="33"/>
    </row>
    <row r="4586" spans="1:7" ht="15.75">
      <c r="A4586" s="33"/>
      <c r="B4586" s="33"/>
      <c r="G4586" s="33"/>
    </row>
    <row r="4587" spans="1:7" ht="15.75">
      <c r="A4587" s="33"/>
      <c r="B4587" s="33"/>
      <c r="G4587" s="33"/>
    </row>
    <row r="4588" spans="1:7" ht="15.75">
      <c r="A4588" s="33"/>
      <c r="B4588" s="33"/>
      <c r="G4588" s="33"/>
    </row>
    <row r="4589" spans="1:7" ht="15.75">
      <c r="A4589" s="33"/>
      <c r="B4589" s="33"/>
      <c r="G4589" s="33"/>
    </row>
    <row r="4590" spans="1:7" ht="15.75">
      <c r="A4590" s="33"/>
      <c r="B4590" s="33"/>
      <c r="G4590" s="33"/>
    </row>
    <row r="4591" spans="1:7" ht="15.75">
      <c r="A4591" s="33"/>
      <c r="B4591" s="33"/>
      <c r="G4591" s="33"/>
    </row>
    <row r="4592" spans="1:7" ht="15.75">
      <c r="A4592" s="33"/>
      <c r="B4592" s="33"/>
      <c r="G4592" s="33"/>
    </row>
    <row r="4593" spans="1:7" ht="15.75">
      <c r="A4593" s="33"/>
      <c r="B4593" s="33"/>
      <c r="G4593" s="33"/>
    </row>
    <row r="4594" spans="1:7" ht="15.75">
      <c r="A4594" s="33"/>
      <c r="B4594" s="33"/>
      <c r="G4594" s="33"/>
    </row>
    <row r="4595" spans="1:7" ht="15.75">
      <c r="A4595" s="33"/>
      <c r="B4595" s="33"/>
      <c r="G4595" s="33"/>
    </row>
    <row r="4596" spans="1:7" ht="15.75">
      <c r="A4596" s="33"/>
      <c r="B4596" s="33"/>
      <c r="G4596" s="33"/>
    </row>
    <row r="4597" spans="1:7" ht="15.75">
      <c r="A4597" s="33"/>
      <c r="B4597" s="33"/>
      <c r="G4597" s="33"/>
    </row>
    <row r="4598" spans="1:7" ht="15.75">
      <c r="A4598" s="33"/>
      <c r="B4598" s="33"/>
      <c r="G4598" s="33"/>
    </row>
    <row r="4599" spans="1:7" ht="15.75">
      <c r="A4599" s="33"/>
      <c r="B4599" s="33"/>
      <c r="G4599" s="33"/>
    </row>
    <row r="4600" spans="1:7" ht="15.75">
      <c r="A4600" s="33"/>
      <c r="B4600" s="33"/>
      <c r="G4600" s="33"/>
    </row>
    <row r="4601" spans="1:7" ht="15.75">
      <c r="A4601" s="33"/>
      <c r="B4601" s="33"/>
      <c r="G4601" s="33"/>
    </row>
    <row r="4602" spans="1:7" ht="15.75">
      <c r="A4602" s="33"/>
      <c r="B4602" s="33"/>
      <c r="G4602" s="33"/>
    </row>
    <row r="4603" spans="1:7" ht="15.75">
      <c r="A4603" s="33"/>
      <c r="B4603" s="33"/>
      <c r="G4603" s="33"/>
    </row>
    <row r="4604" spans="1:7" ht="15.75">
      <c r="A4604" s="33"/>
      <c r="B4604" s="33"/>
      <c r="G4604" s="33"/>
    </row>
    <row r="4605" spans="1:7" ht="15.75">
      <c r="A4605" s="33"/>
      <c r="B4605" s="33"/>
      <c r="G4605" s="33"/>
    </row>
    <row r="4606" spans="1:7" ht="15.75">
      <c r="A4606" s="33"/>
      <c r="B4606" s="33"/>
      <c r="G4606" s="33"/>
    </row>
    <row r="4607" spans="1:7" ht="15.75">
      <c r="A4607" s="33"/>
      <c r="B4607" s="33"/>
      <c r="G4607" s="33"/>
    </row>
    <row r="4608" spans="1:7" ht="15.75">
      <c r="A4608" s="33"/>
      <c r="B4608" s="33"/>
      <c r="G4608" s="33"/>
    </row>
    <row r="4609" spans="1:7" ht="15.75">
      <c r="A4609" s="33"/>
      <c r="B4609" s="33"/>
      <c r="G4609" s="33"/>
    </row>
    <row r="4610" spans="1:7" ht="15.75">
      <c r="A4610" s="33"/>
      <c r="B4610" s="33"/>
      <c r="G4610" s="33"/>
    </row>
    <row r="4611" spans="1:7" ht="15.75">
      <c r="A4611" s="33"/>
      <c r="B4611" s="33"/>
      <c r="G4611" s="33"/>
    </row>
    <row r="4612" spans="1:7" ht="15.75">
      <c r="A4612" s="33"/>
      <c r="B4612" s="33"/>
      <c r="G4612" s="33"/>
    </row>
    <row r="4613" spans="1:7" ht="15.75">
      <c r="A4613" s="33"/>
      <c r="B4613" s="33"/>
      <c r="G4613" s="33"/>
    </row>
    <row r="4614" spans="1:7" ht="15.75">
      <c r="A4614" s="33"/>
      <c r="B4614" s="33"/>
      <c r="G4614" s="33"/>
    </row>
    <row r="4615" spans="1:7" ht="15.75">
      <c r="A4615" s="33"/>
      <c r="B4615" s="33"/>
      <c r="G4615" s="33"/>
    </row>
    <row r="4616" spans="1:7" ht="15.75">
      <c r="A4616" s="33"/>
      <c r="B4616" s="33"/>
      <c r="G4616" s="33"/>
    </row>
    <row r="4617" spans="1:7" ht="15.75">
      <c r="A4617" s="33"/>
      <c r="B4617" s="33"/>
      <c r="G4617" s="33"/>
    </row>
    <row r="4618" spans="1:7" ht="15.75">
      <c r="A4618" s="33"/>
      <c r="B4618" s="33"/>
      <c r="G4618" s="33"/>
    </row>
    <row r="4619" spans="1:7" ht="15.75">
      <c r="A4619" s="33"/>
      <c r="B4619" s="33"/>
      <c r="G4619" s="33"/>
    </row>
    <row r="4620" spans="1:7" ht="15.75">
      <c r="A4620" s="33"/>
      <c r="B4620" s="33"/>
      <c r="G4620" s="33"/>
    </row>
    <row r="4621" spans="1:7" ht="15.75">
      <c r="A4621" s="33"/>
      <c r="B4621" s="33"/>
      <c r="G4621" s="33"/>
    </row>
    <row r="4622" spans="1:7" ht="15.75">
      <c r="A4622" s="33"/>
      <c r="B4622" s="33"/>
      <c r="G4622" s="33"/>
    </row>
    <row r="4623" spans="1:7" ht="15.75">
      <c r="A4623" s="33"/>
      <c r="B4623" s="33"/>
      <c r="G4623" s="33"/>
    </row>
    <row r="4624" spans="1:7" ht="15.75">
      <c r="A4624" s="33"/>
      <c r="B4624" s="33"/>
      <c r="G4624" s="33"/>
    </row>
    <row r="4625" spans="1:7" ht="15.75">
      <c r="A4625" s="33"/>
      <c r="B4625" s="33"/>
      <c r="G4625" s="33"/>
    </row>
    <row r="4626" spans="1:7" ht="15.75">
      <c r="A4626" s="33"/>
      <c r="B4626" s="33"/>
      <c r="G4626" s="33"/>
    </row>
    <row r="4627" spans="1:7" ht="15.75">
      <c r="A4627" s="33"/>
      <c r="B4627" s="33"/>
      <c r="G4627" s="33"/>
    </row>
    <row r="4628" spans="1:7" ht="15.75">
      <c r="A4628" s="33"/>
      <c r="B4628" s="33"/>
      <c r="G4628" s="33"/>
    </row>
    <row r="4629" spans="1:7" ht="15.75">
      <c r="A4629" s="33"/>
      <c r="B4629" s="33"/>
      <c r="G4629" s="33"/>
    </row>
    <row r="4630" spans="1:7" ht="15.75">
      <c r="A4630" s="33"/>
      <c r="B4630" s="33"/>
      <c r="G4630" s="33"/>
    </row>
    <row r="4631" spans="1:7" ht="15.75">
      <c r="A4631" s="33"/>
      <c r="B4631" s="33"/>
      <c r="G4631" s="33"/>
    </row>
    <row r="4632" spans="1:7" ht="15.75">
      <c r="A4632" s="33"/>
      <c r="B4632" s="33"/>
      <c r="G4632" s="33"/>
    </row>
    <row r="4633" spans="1:7" ht="15.75">
      <c r="A4633" s="33"/>
      <c r="B4633" s="33"/>
      <c r="G4633" s="33"/>
    </row>
    <row r="4634" spans="1:7" ht="15.75">
      <c r="A4634" s="33"/>
      <c r="B4634" s="33"/>
      <c r="G4634" s="33"/>
    </row>
    <row r="4635" spans="1:7" ht="15.75">
      <c r="A4635" s="33"/>
      <c r="B4635" s="33"/>
      <c r="G4635" s="33"/>
    </row>
    <row r="4636" spans="1:7" ht="15.75">
      <c r="A4636" s="33"/>
      <c r="B4636" s="33"/>
      <c r="G4636" s="33"/>
    </row>
    <row r="4637" spans="1:7" ht="15.75">
      <c r="A4637" s="33"/>
      <c r="B4637" s="33"/>
      <c r="G4637" s="33"/>
    </row>
    <row r="4638" spans="1:7" ht="15.75">
      <c r="A4638" s="33"/>
      <c r="B4638" s="33"/>
      <c r="G4638" s="33"/>
    </row>
    <row r="4639" spans="1:7" ht="15.75">
      <c r="A4639" s="33"/>
      <c r="B4639" s="33"/>
      <c r="G4639" s="33"/>
    </row>
    <row r="4640" spans="1:7" ht="15.75">
      <c r="A4640" s="33"/>
      <c r="B4640" s="33"/>
      <c r="G4640" s="33"/>
    </row>
    <row r="4641" spans="1:7" ht="15.75">
      <c r="A4641" s="33"/>
      <c r="B4641" s="33"/>
      <c r="G4641" s="33"/>
    </row>
    <row r="4642" spans="1:7" ht="15.75">
      <c r="A4642" s="33"/>
      <c r="B4642" s="33"/>
      <c r="G4642" s="33"/>
    </row>
    <row r="4643" spans="1:7" ht="15.75">
      <c r="A4643" s="33"/>
      <c r="B4643" s="33"/>
      <c r="G4643" s="33"/>
    </row>
    <row r="4644" spans="1:7" ht="15.75">
      <c r="A4644" s="33"/>
      <c r="B4644" s="33"/>
      <c r="G4644" s="33"/>
    </row>
    <row r="4645" spans="1:7" ht="15.75">
      <c r="A4645" s="33"/>
      <c r="B4645" s="33"/>
      <c r="G4645" s="33"/>
    </row>
    <row r="4646" spans="1:7" ht="15.75">
      <c r="A4646" s="33"/>
      <c r="B4646" s="33"/>
      <c r="G4646" s="33"/>
    </row>
    <row r="4647" spans="1:7" ht="15.75">
      <c r="A4647" s="33"/>
      <c r="B4647" s="33"/>
      <c r="G4647" s="33"/>
    </row>
    <row r="4648" spans="1:7" ht="15.75">
      <c r="A4648" s="33"/>
      <c r="B4648" s="33"/>
      <c r="G4648" s="33"/>
    </row>
    <row r="4649" spans="1:7" ht="15.75">
      <c r="A4649" s="33"/>
      <c r="B4649" s="33"/>
      <c r="G4649" s="33"/>
    </row>
    <row r="4650" spans="1:7" ht="15.75">
      <c r="A4650" s="33"/>
      <c r="B4650" s="33"/>
      <c r="G4650" s="33"/>
    </row>
    <row r="4651" spans="1:7" ht="15.75">
      <c r="A4651" s="33"/>
      <c r="B4651" s="33"/>
      <c r="G4651" s="33"/>
    </row>
    <row r="4652" spans="1:7" ht="15.75">
      <c r="A4652" s="33"/>
      <c r="B4652" s="33"/>
      <c r="G4652" s="33"/>
    </row>
    <row r="4653" spans="1:7" ht="15.75">
      <c r="A4653" s="33"/>
      <c r="B4653" s="33"/>
      <c r="G4653" s="33"/>
    </row>
    <row r="4654" spans="1:7" ht="15.75">
      <c r="A4654" s="33"/>
      <c r="B4654" s="33"/>
      <c r="G4654" s="33"/>
    </row>
    <row r="4655" spans="1:7" ht="15.75">
      <c r="A4655" s="33"/>
      <c r="B4655" s="33"/>
      <c r="G4655" s="33"/>
    </row>
    <row r="4656" spans="1:7" ht="15.75">
      <c r="A4656" s="33"/>
      <c r="B4656" s="33"/>
      <c r="G4656" s="33"/>
    </row>
    <row r="4657" spans="1:7" ht="15.75">
      <c r="A4657" s="33"/>
      <c r="B4657" s="33"/>
      <c r="G4657" s="33"/>
    </row>
    <row r="4658" spans="1:7" ht="15.75">
      <c r="A4658" s="33"/>
      <c r="B4658" s="33"/>
      <c r="G4658" s="33"/>
    </row>
    <row r="4659" spans="1:7" ht="15.75">
      <c r="A4659" s="33"/>
      <c r="B4659" s="33"/>
      <c r="G4659" s="33"/>
    </row>
    <row r="4660" spans="1:7" ht="15.75">
      <c r="A4660" s="33"/>
      <c r="B4660" s="33"/>
      <c r="G4660" s="33"/>
    </row>
    <row r="4661" spans="1:7" ht="15.75">
      <c r="A4661" s="33"/>
      <c r="B4661" s="33"/>
      <c r="G4661" s="33"/>
    </row>
    <row r="4662" spans="1:7" ht="15.75">
      <c r="A4662" s="33"/>
      <c r="B4662" s="33"/>
      <c r="G4662" s="33"/>
    </row>
    <row r="4663" spans="1:7" ht="15.75">
      <c r="A4663" s="33"/>
      <c r="B4663" s="33"/>
      <c r="G4663" s="33"/>
    </row>
    <row r="4664" spans="1:7" ht="15.75">
      <c r="A4664" s="33"/>
      <c r="B4664" s="33"/>
      <c r="G4664" s="33"/>
    </row>
    <row r="4665" spans="1:7" ht="15.75">
      <c r="A4665" s="33"/>
      <c r="B4665" s="33"/>
      <c r="G4665" s="33"/>
    </row>
    <row r="4666" spans="1:7" ht="15.75">
      <c r="A4666" s="33"/>
      <c r="B4666" s="33"/>
      <c r="G4666" s="33"/>
    </row>
    <row r="4667" spans="1:7" ht="15.75">
      <c r="A4667" s="33"/>
      <c r="B4667" s="33"/>
      <c r="G4667" s="33"/>
    </row>
    <row r="4668" spans="1:7" ht="15.75">
      <c r="A4668" s="33"/>
      <c r="B4668" s="33"/>
      <c r="G4668" s="33"/>
    </row>
    <row r="4669" spans="1:7" ht="15.75">
      <c r="A4669" s="33"/>
      <c r="B4669" s="33"/>
      <c r="G4669" s="33"/>
    </row>
    <row r="4670" spans="1:7" ht="15.75">
      <c r="A4670" s="33"/>
      <c r="B4670" s="33"/>
      <c r="G4670" s="33"/>
    </row>
    <row r="4671" spans="1:7" ht="15.75">
      <c r="A4671" s="33"/>
      <c r="B4671" s="33"/>
      <c r="G4671" s="33"/>
    </row>
    <row r="4672" spans="1:7" ht="15.75">
      <c r="A4672" s="33"/>
      <c r="B4672" s="33"/>
      <c r="G4672" s="33"/>
    </row>
    <row r="4673" spans="1:7" ht="15.75">
      <c r="A4673" s="33"/>
      <c r="B4673" s="33"/>
      <c r="G4673" s="33"/>
    </row>
    <row r="4674" spans="1:7" ht="15.75">
      <c r="A4674" s="33"/>
      <c r="B4674" s="33"/>
      <c r="G4674" s="33"/>
    </row>
    <row r="4675" spans="1:7" ht="15.75">
      <c r="A4675" s="33"/>
      <c r="B4675" s="33"/>
      <c r="G4675" s="33"/>
    </row>
    <row r="4676" spans="1:7" ht="15.75">
      <c r="A4676" s="33"/>
      <c r="B4676" s="33"/>
      <c r="G4676" s="33"/>
    </row>
    <row r="4677" spans="1:7" ht="15.75">
      <c r="A4677" s="33"/>
      <c r="B4677" s="33"/>
      <c r="G4677" s="33"/>
    </row>
    <row r="4678" spans="1:7" ht="15.75">
      <c r="A4678" s="33"/>
      <c r="B4678" s="33"/>
      <c r="G4678" s="33"/>
    </row>
    <row r="4679" spans="1:7" ht="15.75">
      <c r="A4679" s="33"/>
      <c r="B4679" s="33"/>
      <c r="G4679" s="33"/>
    </row>
    <row r="4680" spans="1:7" ht="15.75">
      <c r="A4680" s="33"/>
      <c r="B4680" s="33"/>
      <c r="G4680" s="33"/>
    </row>
    <row r="4681" spans="1:7" ht="15.75">
      <c r="A4681" s="33"/>
      <c r="B4681" s="33"/>
      <c r="G4681" s="33"/>
    </row>
    <row r="4682" spans="1:7" ht="15.75">
      <c r="A4682" s="33"/>
      <c r="B4682" s="33"/>
      <c r="G4682" s="33"/>
    </row>
    <row r="4683" spans="1:7" ht="15.75">
      <c r="A4683" s="33"/>
      <c r="B4683" s="33"/>
      <c r="G4683" s="33"/>
    </row>
    <row r="4684" spans="1:7" ht="15.75">
      <c r="A4684" s="33"/>
      <c r="B4684" s="33"/>
      <c r="G4684" s="33"/>
    </row>
    <row r="4685" spans="1:7" ht="15.75">
      <c r="A4685" s="33"/>
      <c r="B4685" s="33"/>
      <c r="G4685" s="33"/>
    </row>
    <row r="4686" spans="1:7" ht="15.75">
      <c r="A4686" s="33"/>
      <c r="B4686" s="33"/>
      <c r="G4686" s="33"/>
    </row>
    <row r="4687" spans="1:7" ht="15.75">
      <c r="A4687" s="33"/>
      <c r="B4687" s="33"/>
      <c r="G4687" s="33"/>
    </row>
    <row r="4688" spans="1:7" ht="15.75">
      <c r="A4688" s="33"/>
      <c r="B4688" s="33"/>
      <c r="G4688" s="33"/>
    </row>
    <row r="4689" spans="1:7" ht="15.75">
      <c r="A4689" s="33"/>
      <c r="B4689" s="33"/>
      <c r="G4689" s="33"/>
    </row>
    <row r="4690" spans="1:7" ht="15.75">
      <c r="A4690" s="33"/>
      <c r="B4690" s="33"/>
      <c r="G4690" s="33"/>
    </row>
    <row r="4691" spans="1:7" ht="15.75">
      <c r="A4691" s="33"/>
      <c r="B4691" s="33"/>
      <c r="G4691" s="33"/>
    </row>
    <row r="4692" spans="1:7" ht="15.75">
      <c r="A4692" s="33"/>
      <c r="B4692" s="33"/>
      <c r="G4692" s="33"/>
    </row>
    <row r="4693" spans="1:7" ht="15.75">
      <c r="A4693" s="33"/>
      <c r="B4693" s="33"/>
      <c r="G4693" s="33"/>
    </row>
    <row r="4694" spans="1:7" ht="15.75">
      <c r="A4694" s="33"/>
      <c r="B4694" s="33"/>
      <c r="G4694" s="33"/>
    </row>
    <row r="4695" spans="1:7" ht="15.75">
      <c r="A4695" s="33"/>
      <c r="B4695" s="33"/>
      <c r="G4695" s="33"/>
    </row>
    <row r="4696" spans="1:7" ht="15.75">
      <c r="A4696" s="33"/>
      <c r="B4696" s="33"/>
      <c r="G4696" s="33"/>
    </row>
    <row r="4697" spans="1:7" ht="15.75">
      <c r="A4697" s="33"/>
      <c r="B4697" s="33"/>
      <c r="G4697" s="33"/>
    </row>
    <row r="4698" spans="1:7" ht="15.75">
      <c r="A4698" s="33"/>
      <c r="B4698" s="33"/>
      <c r="G4698" s="33"/>
    </row>
    <row r="4699" spans="1:7" ht="15.75">
      <c r="A4699" s="33"/>
      <c r="B4699" s="33"/>
      <c r="G4699" s="33"/>
    </row>
    <row r="4700" spans="1:7" ht="15.75">
      <c r="A4700" s="33"/>
      <c r="B4700" s="33"/>
      <c r="G4700" s="33"/>
    </row>
    <row r="4701" spans="1:7" ht="15.75">
      <c r="A4701" s="33"/>
      <c r="B4701" s="33"/>
      <c r="G4701" s="33"/>
    </row>
    <row r="4702" spans="1:7" ht="15.75">
      <c r="A4702" s="33"/>
      <c r="B4702" s="33"/>
      <c r="G4702" s="33"/>
    </row>
    <row r="4703" spans="1:7" ht="15.75">
      <c r="A4703" s="33"/>
      <c r="B4703" s="33"/>
      <c r="G4703" s="33"/>
    </row>
    <row r="4704" spans="1:7" ht="15.75">
      <c r="A4704" s="33"/>
      <c r="B4704" s="33"/>
      <c r="G4704" s="33"/>
    </row>
    <row r="4705" spans="1:7" ht="15.75">
      <c r="A4705" s="33"/>
      <c r="B4705" s="33"/>
      <c r="G4705" s="33"/>
    </row>
    <row r="4706" spans="1:7" ht="15.75">
      <c r="A4706" s="33"/>
      <c r="B4706" s="33"/>
      <c r="G4706" s="33"/>
    </row>
    <row r="4707" spans="1:7" ht="15.75">
      <c r="A4707" s="33"/>
      <c r="B4707" s="33"/>
      <c r="G4707" s="33"/>
    </row>
    <row r="4708" spans="1:7" ht="15.75">
      <c r="A4708" s="33"/>
      <c r="B4708" s="33"/>
      <c r="G4708" s="33"/>
    </row>
    <row r="4709" spans="1:7" ht="15.75">
      <c r="A4709" s="33"/>
      <c r="B4709" s="33"/>
      <c r="G4709" s="33"/>
    </row>
    <row r="4710" spans="1:7" ht="15.75">
      <c r="A4710" s="33"/>
      <c r="B4710" s="33"/>
      <c r="G4710" s="33"/>
    </row>
    <row r="4711" spans="1:7" ht="15.75">
      <c r="A4711" s="33"/>
      <c r="B4711" s="33"/>
      <c r="G4711" s="33"/>
    </row>
    <row r="4712" spans="1:7" ht="15.75">
      <c r="A4712" s="33"/>
      <c r="B4712" s="33"/>
      <c r="G4712" s="33"/>
    </row>
    <row r="4713" spans="1:7" ht="15.75">
      <c r="A4713" s="33"/>
      <c r="B4713" s="33"/>
      <c r="G4713" s="33"/>
    </row>
    <row r="4714" spans="1:7" ht="15.75">
      <c r="A4714" s="33"/>
      <c r="B4714" s="33"/>
      <c r="G4714" s="33"/>
    </row>
    <row r="4715" spans="1:7" ht="15.75">
      <c r="A4715" s="33"/>
      <c r="B4715" s="33"/>
      <c r="G4715" s="33"/>
    </row>
    <row r="4716" spans="1:7" ht="15.75">
      <c r="A4716" s="33"/>
      <c r="B4716" s="33"/>
      <c r="G4716" s="33"/>
    </row>
    <row r="4717" spans="1:7" ht="15.75">
      <c r="A4717" s="33"/>
      <c r="B4717" s="33"/>
      <c r="G4717" s="33"/>
    </row>
    <row r="4718" spans="1:7" ht="15.75">
      <c r="A4718" s="33"/>
      <c r="B4718" s="33"/>
      <c r="G4718" s="33"/>
    </row>
    <row r="4719" spans="1:7" ht="15.75">
      <c r="A4719" s="33"/>
      <c r="B4719" s="33"/>
      <c r="G4719" s="33"/>
    </row>
    <row r="4720" spans="1:7" ht="15.75">
      <c r="A4720" s="33"/>
      <c r="B4720" s="33"/>
      <c r="G4720" s="33"/>
    </row>
    <row r="4721" spans="1:7" ht="15.75">
      <c r="A4721" s="33"/>
      <c r="B4721" s="33"/>
      <c r="G4721" s="33"/>
    </row>
    <row r="4722" spans="1:7" ht="15.75">
      <c r="A4722" s="33"/>
      <c r="B4722" s="33"/>
      <c r="G4722" s="33"/>
    </row>
    <row r="4723" spans="1:7" ht="15.75">
      <c r="A4723" s="33"/>
      <c r="B4723" s="33"/>
      <c r="G4723" s="33"/>
    </row>
    <row r="4724" spans="1:7" ht="15.75">
      <c r="A4724" s="33"/>
      <c r="B4724" s="33"/>
      <c r="G4724" s="33"/>
    </row>
    <row r="4725" spans="1:7" ht="15.75">
      <c r="A4725" s="33"/>
      <c r="B4725" s="33"/>
      <c r="G4725" s="33"/>
    </row>
    <row r="4726" spans="1:7" ht="15.75">
      <c r="A4726" s="33"/>
      <c r="B4726" s="33"/>
      <c r="G4726" s="33"/>
    </row>
    <row r="4727" spans="1:7" ht="15.75">
      <c r="A4727" s="33"/>
      <c r="B4727" s="33"/>
      <c r="G4727" s="33"/>
    </row>
    <row r="4728" spans="1:7" ht="15.75">
      <c r="A4728" s="33"/>
      <c r="B4728" s="33"/>
      <c r="G4728" s="33"/>
    </row>
    <row r="4729" spans="1:7" ht="15.75">
      <c r="A4729" s="33"/>
      <c r="B4729" s="33"/>
      <c r="G4729" s="33"/>
    </row>
    <row r="4730" spans="1:7" ht="15.75">
      <c r="A4730" s="33"/>
      <c r="B4730" s="33"/>
      <c r="G4730" s="33"/>
    </row>
    <row r="4731" spans="1:7" ht="15.75">
      <c r="A4731" s="33"/>
      <c r="B4731" s="33"/>
      <c r="G4731" s="33"/>
    </row>
    <row r="4732" spans="1:7" ht="15.75">
      <c r="A4732" s="33"/>
      <c r="B4732" s="33"/>
      <c r="G4732" s="33"/>
    </row>
    <row r="4733" spans="1:7" ht="15.75">
      <c r="A4733" s="33"/>
      <c r="B4733" s="33"/>
      <c r="G4733" s="33"/>
    </row>
    <row r="4734" spans="1:7" ht="15.75">
      <c r="A4734" s="33"/>
      <c r="B4734" s="33"/>
      <c r="G4734" s="33"/>
    </row>
    <row r="4735" spans="1:7" ht="15.75">
      <c r="A4735" s="33"/>
      <c r="B4735" s="33"/>
      <c r="G4735" s="33"/>
    </row>
    <row r="4736" spans="1:7" ht="15.75">
      <c r="A4736" s="33"/>
      <c r="B4736" s="33"/>
      <c r="G4736" s="33"/>
    </row>
    <row r="4737" spans="1:7" ht="15.75">
      <c r="A4737" s="33"/>
      <c r="B4737" s="33"/>
      <c r="G4737" s="33"/>
    </row>
    <row r="4738" spans="1:7" ht="15.75">
      <c r="A4738" s="33"/>
      <c r="B4738" s="33"/>
      <c r="G4738" s="33"/>
    </row>
    <row r="4739" spans="1:7" ht="15.75">
      <c r="A4739" s="33"/>
      <c r="B4739" s="33"/>
      <c r="G4739" s="33"/>
    </row>
    <row r="4740" spans="1:7" ht="15.75">
      <c r="A4740" s="33"/>
      <c r="B4740" s="33"/>
      <c r="G4740" s="33"/>
    </row>
    <row r="4741" spans="1:7" ht="15.75">
      <c r="A4741" s="33"/>
      <c r="B4741" s="33"/>
      <c r="G4741" s="33"/>
    </row>
    <row r="4742" spans="1:7" ht="15.75">
      <c r="A4742" s="33"/>
      <c r="B4742" s="33"/>
      <c r="G4742" s="33"/>
    </row>
    <row r="4743" spans="1:7" ht="15.75">
      <c r="A4743" s="33"/>
      <c r="B4743" s="33"/>
      <c r="G4743" s="33"/>
    </row>
    <row r="4744" spans="1:7" ht="15.75">
      <c r="A4744" s="33"/>
      <c r="B4744" s="33"/>
      <c r="G4744" s="33"/>
    </row>
    <row r="4745" spans="1:7" ht="15.75">
      <c r="A4745" s="33"/>
      <c r="B4745" s="33"/>
      <c r="G4745" s="33"/>
    </row>
    <row r="4746" spans="1:7" ht="15.75">
      <c r="A4746" s="33"/>
      <c r="B4746" s="33"/>
      <c r="G4746" s="33"/>
    </row>
    <row r="4747" spans="1:7" ht="15.75">
      <c r="A4747" s="33"/>
      <c r="B4747" s="33"/>
      <c r="G4747" s="33"/>
    </row>
    <row r="4748" spans="1:7" ht="15.75">
      <c r="A4748" s="33"/>
      <c r="B4748" s="33"/>
      <c r="G4748" s="33"/>
    </row>
    <row r="4749" spans="1:7" ht="15.75">
      <c r="A4749" s="33"/>
      <c r="B4749" s="33"/>
      <c r="G4749" s="33"/>
    </row>
    <row r="4750" spans="1:7" ht="15.75">
      <c r="A4750" s="33"/>
      <c r="B4750" s="33"/>
      <c r="G4750" s="33"/>
    </row>
    <row r="4751" spans="1:7" ht="15.75">
      <c r="A4751" s="33"/>
      <c r="B4751" s="33"/>
      <c r="G4751" s="33"/>
    </row>
    <row r="4752" spans="1:7" ht="15.75">
      <c r="A4752" s="33"/>
      <c r="B4752" s="33"/>
      <c r="G4752" s="33"/>
    </row>
    <row r="4753" spans="1:7" ht="15.75">
      <c r="A4753" s="33"/>
      <c r="B4753" s="33"/>
      <c r="G4753" s="33"/>
    </row>
    <row r="4754" spans="1:7" ht="15.75">
      <c r="A4754" s="33"/>
      <c r="B4754" s="33"/>
      <c r="G4754" s="33"/>
    </row>
    <row r="4755" spans="1:7" ht="15.75">
      <c r="A4755" s="33"/>
      <c r="B4755" s="33"/>
      <c r="G4755" s="33"/>
    </row>
    <row r="4756" spans="1:7" ht="15.75">
      <c r="A4756" s="33"/>
      <c r="B4756" s="33"/>
      <c r="G4756" s="33"/>
    </row>
    <row r="4757" spans="1:7" ht="15.75">
      <c r="A4757" s="33"/>
      <c r="B4757" s="33"/>
      <c r="G4757" s="33"/>
    </row>
    <row r="4758" spans="1:7" ht="15.75">
      <c r="A4758" s="33"/>
      <c r="B4758" s="33"/>
      <c r="G4758" s="33"/>
    </row>
    <row r="4759" spans="1:7" ht="15.75">
      <c r="A4759" s="33"/>
      <c r="B4759" s="33"/>
      <c r="G4759" s="33"/>
    </row>
    <row r="4760" spans="1:7" ht="15.75">
      <c r="A4760" s="33"/>
      <c r="B4760" s="33"/>
      <c r="G4760" s="33"/>
    </row>
    <row r="4761" spans="1:7" ht="15.75">
      <c r="A4761" s="33"/>
      <c r="B4761" s="33"/>
      <c r="G4761" s="33"/>
    </row>
    <row r="4762" spans="1:7" ht="15.75">
      <c r="A4762" s="33"/>
      <c r="B4762" s="33"/>
      <c r="G4762" s="33"/>
    </row>
    <row r="4763" spans="1:7" ht="15.75">
      <c r="A4763" s="33"/>
      <c r="B4763" s="33"/>
      <c r="G4763" s="33"/>
    </row>
    <row r="4764" spans="1:7" ht="15.75">
      <c r="A4764" s="33"/>
      <c r="B4764" s="33"/>
      <c r="G4764" s="33"/>
    </row>
    <row r="4765" spans="1:7" ht="15.75">
      <c r="A4765" s="33"/>
      <c r="B4765" s="33"/>
      <c r="G4765" s="33"/>
    </row>
    <row r="4766" spans="1:7" ht="15.75">
      <c r="A4766" s="33"/>
      <c r="B4766" s="33"/>
      <c r="G4766" s="33"/>
    </row>
    <row r="4767" spans="1:7" ht="15.75">
      <c r="A4767" s="33"/>
      <c r="B4767" s="33"/>
      <c r="G4767" s="33"/>
    </row>
    <row r="4768" spans="1:7" ht="15.75">
      <c r="A4768" s="33"/>
      <c r="B4768" s="33"/>
      <c r="G4768" s="33"/>
    </row>
    <row r="4769" spans="1:7" ht="15.75">
      <c r="A4769" s="33"/>
      <c r="B4769" s="33"/>
      <c r="G4769" s="33"/>
    </row>
    <row r="4770" spans="1:7" ht="15.75">
      <c r="A4770" s="33"/>
      <c r="B4770" s="33"/>
      <c r="G4770" s="33"/>
    </row>
    <row r="4771" spans="1:7" ht="15.75">
      <c r="A4771" s="33"/>
      <c r="B4771" s="33"/>
      <c r="G4771" s="33"/>
    </row>
    <row r="4772" spans="1:7" ht="15.75">
      <c r="A4772" s="33"/>
      <c r="B4772" s="33"/>
      <c r="G4772" s="33"/>
    </row>
    <row r="4773" spans="1:7" ht="15.75">
      <c r="A4773" s="33"/>
      <c r="B4773" s="33"/>
      <c r="G4773" s="33"/>
    </row>
    <row r="4774" spans="1:7" ht="15.75">
      <c r="A4774" s="33"/>
      <c r="B4774" s="33"/>
      <c r="G4774" s="33"/>
    </row>
    <row r="4775" spans="1:7" ht="15.75">
      <c r="A4775" s="33"/>
      <c r="B4775" s="33"/>
      <c r="G4775" s="33"/>
    </row>
    <row r="4776" spans="1:7" ht="15.75">
      <c r="A4776" s="33"/>
      <c r="B4776" s="33"/>
      <c r="G4776" s="33"/>
    </row>
    <row r="4777" spans="1:7" ht="15.75">
      <c r="A4777" s="33"/>
      <c r="B4777" s="33"/>
      <c r="G4777" s="33"/>
    </row>
    <row r="4778" spans="1:7" ht="15.75">
      <c r="A4778" s="33"/>
      <c r="B4778" s="33"/>
      <c r="G4778" s="33"/>
    </row>
    <row r="4779" spans="1:7" ht="15.75">
      <c r="A4779" s="33"/>
      <c r="B4779" s="33"/>
      <c r="G4779" s="33"/>
    </row>
    <row r="4780" spans="1:7" ht="15.75">
      <c r="A4780" s="33"/>
      <c r="B4780" s="33"/>
      <c r="G4780" s="33"/>
    </row>
    <row r="4781" spans="1:7" ht="15.75">
      <c r="A4781" s="33"/>
      <c r="B4781" s="33"/>
      <c r="G4781" s="33"/>
    </row>
    <row r="4782" spans="1:7" ht="15.75">
      <c r="A4782" s="33"/>
      <c r="B4782" s="33"/>
      <c r="G4782" s="33"/>
    </row>
    <row r="4783" spans="1:7" ht="15.75">
      <c r="A4783" s="33"/>
      <c r="B4783" s="33"/>
      <c r="G4783" s="33"/>
    </row>
    <row r="4784" spans="1:7" ht="15.75">
      <c r="A4784" s="33"/>
      <c r="B4784" s="33"/>
      <c r="G4784" s="33"/>
    </row>
    <row r="4785" spans="1:7" ht="15.75">
      <c r="A4785" s="33"/>
      <c r="B4785" s="33"/>
      <c r="G4785" s="33"/>
    </row>
    <row r="4786" spans="1:7" ht="15.75">
      <c r="A4786" s="33"/>
      <c r="B4786" s="33"/>
      <c r="G4786" s="33"/>
    </row>
    <row r="4787" spans="1:7" ht="15.75">
      <c r="A4787" s="33"/>
      <c r="B4787" s="33"/>
      <c r="G4787" s="33"/>
    </row>
    <row r="4788" spans="1:7" ht="15.75">
      <c r="A4788" s="33"/>
      <c r="B4788" s="33"/>
      <c r="G4788" s="33"/>
    </row>
    <row r="4789" spans="1:7" ht="15.75">
      <c r="A4789" s="33"/>
      <c r="B4789" s="33"/>
      <c r="G4789" s="33"/>
    </row>
    <row r="4790" spans="1:7" ht="15.75">
      <c r="A4790" s="33"/>
      <c r="B4790" s="33"/>
      <c r="G4790" s="33"/>
    </row>
    <row r="4791" spans="1:7" ht="15.75">
      <c r="A4791" s="33"/>
      <c r="B4791" s="33"/>
      <c r="G4791" s="33"/>
    </row>
    <row r="4792" spans="1:7" ht="15.75">
      <c r="A4792" s="33"/>
      <c r="B4792" s="33"/>
      <c r="G4792" s="33"/>
    </row>
    <row r="4793" spans="1:7" ht="15.75">
      <c r="A4793" s="33"/>
      <c r="B4793" s="33"/>
      <c r="G4793" s="33"/>
    </row>
    <row r="4794" spans="1:7" ht="15.75">
      <c r="A4794" s="33"/>
      <c r="B4794" s="33"/>
      <c r="G4794" s="33"/>
    </row>
    <row r="4795" spans="1:7" ht="15.75">
      <c r="A4795" s="33"/>
      <c r="B4795" s="33"/>
      <c r="G4795" s="33"/>
    </row>
    <row r="4796" spans="1:7" ht="15.75">
      <c r="A4796" s="33"/>
      <c r="B4796" s="33"/>
      <c r="G4796" s="33"/>
    </row>
    <row r="4797" spans="1:7" ht="15.75">
      <c r="A4797" s="33"/>
      <c r="B4797" s="33"/>
      <c r="G4797" s="33"/>
    </row>
    <row r="4798" spans="1:7" ht="15.75">
      <c r="A4798" s="33"/>
      <c r="B4798" s="33"/>
      <c r="G4798" s="33"/>
    </row>
    <row r="4799" spans="1:7" ht="15.75">
      <c r="A4799" s="33"/>
      <c r="B4799" s="33"/>
      <c r="G4799" s="33"/>
    </row>
    <row r="4800" spans="1:7" ht="15.75">
      <c r="A4800" s="33"/>
      <c r="B4800" s="33"/>
      <c r="G4800" s="33"/>
    </row>
    <row r="4801" spans="1:7" ht="15.75">
      <c r="A4801" s="33"/>
      <c r="B4801" s="33"/>
      <c r="G4801" s="33"/>
    </row>
    <row r="4802" spans="1:7" ht="15.75">
      <c r="A4802" s="33"/>
      <c r="B4802" s="33"/>
      <c r="G4802" s="33"/>
    </row>
    <row r="4803" spans="1:7" ht="15.75">
      <c r="A4803" s="33"/>
      <c r="B4803" s="33"/>
      <c r="G4803" s="33"/>
    </row>
    <row r="4804" spans="1:7" ht="15.75">
      <c r="A4804" s="33"/>
      <c r="B4804" s="33"/>
      <c r="G4804" s="33"/>
    </row>
    <row r="4805" spans="1:7" ht="15.75">
      <c r="A4805" s="33"/>
      <c r="B4805" s="33"/>
      <c r="G4805" s="33"/>
    </row>
    <row r="4806" spans="1:7" ht="15.75">
      <c r="A4806" s="33"/>
      <c r="B4806" s="33"/>
      <c r="G4806" s="33"/>
    </row>
    <row r="4807" spans="1:7" ht="15.75">
      <c r="A4807" s="33"/>
      <c r="B4807" s="33"/>
      <c r="G4807" s="33"/>
    </row>
    <row r="4808" spans="1:7" ht="15.75">
      <c r="A4808" s="33"/>
      <c r="B4808" s="33"/>
      <c r="G4808" s="33"/>
    </row>
    <row r="4809" spans="1:7" ht="15.75">
      <c r="A4809" s="33"/>
      <c r="B4809" s="33"/>
      <c r="G4809" s="33"/>
    </row>
    <row r="4810" spans="1:7" ht="15.75">
      <c r="A4810" s="33"/>
      <c r="B4810" s="33"/>
      <c r="G4810" s="33"/>
    </row>
    <row r="4811" spans="1:7" ht="15.75">
      <c r="A4811" s="33"/>
      <c r="B4811" s="33"/>
      <c r="G4811" s="33"/>
    </row>
    <row r="4812" spans="1:7" ht="15.75">
      <c r="A4812" s="33"/>
      <c r="B4812" s="33"/>
      <c r="G4812" s="33"/>
    </row>
    <row r="4813" spans="1:7" ht="15.75">
      <c r="A4813" s="33"/>
      <c r="B4813" s="33"/>
      <c r="G4813" s="33"/>
    </row>
    <row r="4814" spans="1:7" ht="15.75">
      <c r="A4814" s="33"/>
      <c r="B4814" s="33"/>
      <c r="G4814" s="33"/>
    </row>
    <row r="4815" spans="1:7" ht="15.75">
      <c r="A4815" s="33"/>
      <c r="B4815" s="33"/>
      <c r="G4815" s="33"/>
    </row>
    <row r="4816" spans="1:7" ht="15.75">
      <c r="A4816" s="33"/>
      <c r="B4816" s="33"/>
      <c r="G4816" s="33"/>
    </row>
    <row r="4817" spans="1:7" ht="15.75">
      <c r="A4817" s="33"/>
      <c r="B4817" s="33"/>
      <c r="G4817" s="33"/>
    </row>
    <row r="4818" spans="1:7" ht="15.75">
      <c r="A4818" s="33"/>
      <c r="B4818" s="33"/>
      <c r="G4818" s="33"/>
    </row>
    <row r="4819" spans="1:7" ht="15.75">
      <c r="A4819" s="33"/>
      <c r="B4819" s="33"/>
      <c r="G4819" s="33"/>
    </row>
    <row r="4820" spans="1:7" ht="15.75">
      <c r="A4820" s="33"/>
      <c r="B4820" s="33"/>
      <c r="G4820" s="33"/>
    </row>
    <row r="4821" spans="1:7" ht="15.75">
      <c r="A4821" s="33"/>
      <c r="B4821" s="33"/>
      <c r="G4821" s="33"/>
    </row>
    <row r="4822" spans="1:7" ht="15.75">
      <c r="A4822" s="33"/>
      <c r="B4822" s="33"/>
      <c r="G4822" s="33"/>
    </row>
    <row r="4823" spans="1:7" ht="15.75">
      <c r="A4823" s="33"/>
      <c r="B4823" s="33"/>
      <c r="G4823" s="33"/>
    </row>
    <row r="4824" spans="1:7" ht="15.75">
      <c r="A4824" s="33"/>
      <c r="B4824" s="33"/>
      <c r="G4824" s="33"/>
    </row>
    <row r="4825" spans="1:7" ht="15.75">
      <c r="A4825" s="33"/>
      <c r="B4825" s="33"/>
      <c r="G4825" s="33"/>
    </row>
    <row r="4826" spans="1:7" ht="15.75">
      <c r="A4826" s="33"/>
      <c r="B4826" s="33"/>
      <c r="G4826" s="33"/>
    </row>
    <row r="4827" spans="1:7" ht="15.75">
      <c r="A4827" s="33"/>
      <c r="B4827" s="33"/>
      <c r="G4827" s="33"/>
    </row>
    <row r="4828" spans="1:7" ht="15.75">
      <c r="A4828" s="33"/>
      <c r="B4828" s="33"/>
      <c r="G4828" s="33"/>
    </row>
    <row r="4829" spans="1:7" ht="15.75">
      <c r="A4829" s="33"/>
      <c r="B4829" s="33"/>
      <c r="G4829" s="33"/>
    </row>
    <row r="4830" spans="1:7" ht="15.75">
      <c r="A4830" s="33"/>
      <c r="B4830" s="33"/>
      <c r="G4830" s="33"/>
    </row>
    <row r="4831" spans="1:7" ht="15.75">
      <c r="A4831" s="33"/>
      <c r="B4831" s="33"/>
      <c r="G4831" s="33"/>
    </row>
    <row r="4832" spans="1:7" ht="15.75">
      <c r="A4832" s="33"/>
      <c r="B4832" s="33"/>
      <c r="G4832" s="33"/>
    </row>
    <row r="4833" spans="1:7" ht="15.75">
      <c r="A4833" s="33"/>
      <c r="B4833" s="33"/>
      <c r="G4833" s="33"/>
    </row>
    <row r="4834" spans="1:7" ht="15.75">
      <c r="A4834" s="33"/>
      <c r="B4834" s="33"/>
      <c r="G4834" s="33"/>
    </row>
    <row r="4835" spans="1:7" ht="15.75">
      <c r="A4835" s="33"/>
      <c r="B4835" s="33"/>
      <c r="G4835" s="33"/>
    </row>
    <row r="4836" spans="1:7" ht="15.75">
      <c r="A4836" s="33"/>
      <c r="B4836" s="33"/>
      <c r="G4836" s="33"/>
    </row>
    <row r="4837" spans="1:7" ht="15.75">
      <c r="A4837" s="33"/>
      <c r="B4837" s="33"/>
      <c r="G4837" s="33"/>
    </row>
    <row r="4838" spans="1:7" ht="15.75">
      <c r="A4838" s="33"/>
      <c r="B4838" s="33"/>
      <c r="G4838" s="33"/>
    </row>
    <row r="4839" spans="1:7" ht="15.75">
      <c r="A4839" s="33"/>
      <c r="B4839" s="33"/>
      <c r="G4839" s="33"/>
    </row>
    <row r="4840" spans="1:7" ht="15.75">
      <c r="A4840" s="33"/>
      <c r="B4840" s="33"/>
      <c r="G4840" s="33"/>
    </row>
    <row r="4841" spans="1:7" ht="15.75">
      <c r="A4841" s="33"/>
      <c r="B4841" s="33"/>
      <c r="G4841" s="33"/>
    </row>
    <row r="4842" spans="1:7" ht="15.75">
      <c r="A4842" s="33"/>
      <c r="B4842" s="33"/>
      <c r="G4842" s="33"/>
    </row>
    <row r="4843" spans="1:7" ht="15.75">
      <c r="A4843" s="33"/>
      <c r="B4843" s="33"/>
      <c r="G4843" s="33"/>
    </row>
    <row r="4844" spans="1:7" ht="15.75">
      <c r="A4844" s="33"/>
      <c r="B4844" s="33"/>
      <c r="G4844" s="33"/>
    </row>
    <row r="4845" spans="1:7" ht="15.75">
      <c r="A4845" s="33"/>
      <c r="B4845" s="33"/>
      <c r="G4845" s="33"/>
    </row>
    <row r="4846" spans="1:7" ht="15.75">
      <c r="A4846" s="33"/>
      <c r="B4846" s="33"/>
      <c r="G4846" s="33"/>
    </row>
    <row r="4847" spans="1:7" ht="15.75">
      <c r="A4847" s="33"/>
      <c r="B4847" s="33"/>
      <c r="G4847" s="33"/>
    </row>
    <row r="4848" spans="1:7" ht="15.75">
      <c r="A4848" s="33"/>
      <c r="B4848" s="33"/>
      <c r="G4848" s="33"/>
    </row>
    <row r="4849" spans="1:7" ht="15.75">
      <c r="A4849" s="33"/>
      <c r="B4849" s="33"/>
      <c r="G4849" s="33"/>
    </row>
    <row r="4850" spans="1:7" ht="15.75">
      <c r="A4850" s="33"/>
      <c r="B4850" s="33"/>
      <c r="G4850" s="33"/>
    </row>
    <row r="4851" spans="1:7" ht="15.75">
      <c r="A4851" s="33"/>
      <c r="B4851" s="33"/>
      <c r="G4851" s="33"/>
    </row>
    <row r="4852" spans="1:7" ht="15.75">
      <c r="A4852" s="33"/>
      <c r="B4852" s="33"/>
      <c r="G4852" s="33"/>
    </row>
    <row r="4853" spans="1:7" ht="15.75">
      <c r="A4853" s="33"/>
      <c r="B4853" s="33"/>
      <c r="G4853" s="33"/>
    </row>
    <row r="4854" spans="1:7" ht="15.75">
      <c r="A4854" s="33"/>
      <c r="B4854" s="33"/>
      <c r="G4854" s="33"/>
    </row>
    <row r="4855" spans="1:7" ht="15.75">
      <c r="A4855" s="33"/>
      <c r="B4855" s="33"/>
      <c r="G4855" s="33"/>
    </row>
    <row r="4856" spans="1:7" ht="15.75">
      <c r="A4856" s="33"/>
      <c r="B4856" s="33"/>
      <c r="G4856" s="33"/>
    </row>
    <row r="4857" spans="1:7" ht="15.75">
      <c r="A4857" s="33"/>
      <c r="B4857" s="33"/>
      <c r="G4857" s="33"/>
    </row>
    <row r="4858" spans="1:7" ht="15.75">
      <c r="A4858" s="33"/>
      <c r="B4858" s="33"/>
      <c r="G4858" s="33"/>
    </row>
    <row r="4859" spans="1:7" ht="15.75">
      <c r="A4859" s="33"/>
      <c r="B4859" s="33"/>
      <c r="G4859" s="33"/>
    </row>
    <row r="4860" spans="1:7" ht="15.75">
      <c r="A4860" s="33"/>
      <c r="B4860" s="33"/>
      <c r="G4860" s="33"/>
    </row>
    <row r="4861" spans="1:7" ht="15.75">
      <c r="A4861" s="33"/>
      <c r="B4861" s="33"/>
      <c r="G4861" s="33"/>
    </row>
    <row r="4862" spans="1:7" ht="15.75">
      <c r="A4862" s="33"/>
      <c r="B4862" s="33"/>
      <c r="G4862" s="33"/>
    </row>
    <row r="4863" spans="1:7" ht="15.75">
      <c r="A4863" s="33"/>
      <c r="B4863" s="33"/>
      <c r="G4863" s="33"/>
    </row>
    <row r="4864" spans="1:7" ht="15.75">
      <c r="A4864" s="33"/>
      <c r="B4864" s="33"/>
      <c r="G4864" s="33"/>
    </row>
    <row r="4865" spans="1:7" ht="15.75">
      <c r="A4865" s="33"/>
      <c r="B4865" s="33"/>
      <c r="G4865" s="33"/>
    </row>
    <row r="4866" spans="1:7" ht="15.75">
      <c r="A4866" s="33"/>
      <c r="B4866" s="33"/>
      <c r="G4866" s="33"/>
    </row>
    <row r="4867" spans="1:7" ht="15.75">
      <c r="A4867" s="33"/>
      <c r="B4867" s="33"/>
      <c r="G4867" s="33"/>
    </row>
    <row r="4868" spans="1:7" ht="15.75">
      <c r="A4868" s="33"/>
      <c r="B4868" s="33"/>
      <c r="G4868" s="33"/>
    </row>
    <row r="4869" spans="1:7" ht="15.75">
      <c r="A4869" s="33"/>
      <c r="B4869" s="33"/>
      <c r="G4869" s="33"/>
    </row>
    <row r="4870" spans="1:7" ht="15.75">
      <c r="A4870" s="33"/>
      <c r="B4870" s="33"/>
      <c r="G4870" s="33"/>
    </row>
    <row r="4871" spans="1:7" ht="15.75">
      <c r="A4871" s="33"/>
      <c r="B4871" s="33"/>
      <c r="G4871" s="33"/>
    </row>
    <row r="4872" spans="1:7" ht="15.75">
      <c r="A4872" s="33"/>
      <c r="B4872" s="33"/>
      <c r="G4872" s="33"/>
    </row>
    <row r="4873" spans="1:7" ht="15.75">
      <c r="A4873" s="33"/>
      <c r="B4873" s="33"/>
      <c r="G4873" s="33"/>
    </row>
    <row r="4874" spans="1:7" ht="15.75">
      <c r="A4874" s="33"/>
      <c r="B4874" s="33"/>
      <c r="G4874" s="33"/>
    </row>
    <row r="4875" spans="1:7" ht="15.75">
      <c r="A4875" s="33"/>
      <c r="B4875" s="33"/>
      <c r="G4875" s="33"/>
    </row>
    <row r="4876" spans="1:7" ht="15.75">
      <c r="A4876" s="33"/>
      <c r="B4876" s="33"/>
      <c r="G4876" s="33"/>
    </row>
    <row r="4877" spans="1:7" ht="15.75">
      <c r="A4877" s="33"/>
      <c r="B4877" s="33"/>
      <c r="G4877" s="33"/>
    </row>
    <row r="4878" spans="1:7" ht="15.75">
      <c r="A4878" s="33"/>
      <c r="B4878" s="33"/>
      <c r="G4878" s="33"/>
    </row>
    <row r="4879" spans="1:7" ht="15.75">
      <c r="A4879" s="33"/>
      <c r="B4879" s="33"/>
      <c r="G4879" s="33"/>
    </row>
    <row r="4880" spans="1:7" ht="15.75">
      <c r="A4880" s="33"/>
      <c r="B4880" s="33"/>
      <c r="G4880" s="33"/>
    </row>
    <row r="4881" spans="1:7" ht="15.75">
      <c r="A4881" s="33"/>
      <c r="B4881" s="33"/>
      <c r="G4881" s="33"/>
    </row>
    <row r="4882" spans="1:7" ht="15.75">
      <c r="A4882" s="33"/>
      <c r="B4882" s="33"/>
      <c r="G4882" s="33"/>
    </row>
    <row r="4883" spans="1:7" ht="15.75">
      <c r="A4883" s="33"/>
      <c r="B4883" s="33"/>
      <c r="G4883" s="33"/>
    </row>
    <row r="4884" spans="1:7" ht="15.75">
      <c r="A4884" s="33"/>
      <c r="B4884" s="33"/>
      <c r="G4884" s="33"/>
    </row>
    <row r="4885" spans="1:7" ht="15.75">
      <c r="A4885" s="33"/>
      <c r="B4885" s="33"/>
      <c r="G4885" s="33"/>
    </row>
    <row r="4886" spans="1:7" ht="15.75">
      <c r="A4886" s="33"/>
      <c r="B4886" s="33"/>
      <c r="G4886" s="33"/>
    </row>
    <row r="4887" spans="1:7" ht="15.75">
      <c r="A4887" s="33"/>
      <c r="B4887" s="33"/>
      <c r="G4887" s="33"/>
    </row>
    <row r="4888" spans="1:7" ht="15.75">
      <c r="A4888" s="33"/>
      <c r="B4888" s="33"/>
      <c r="G4888" s="33"/>
    </row>
    <row r="4889" spans="1:7" ht="15.75">
      <c r="A4889" s="33"/>
      <c r="B4889" s="33"/>
      <c r="G4889" s="33"/>
    </row>
    <row r="4890" spans="1:7" ht="15.75">
      <c r="A4890" s="33"/>
      <c r="B4890" s="33"/>
      <c r="G4890" s="33"/>
    </row>
    <row r="4891" spans="1:7" ht="15.75">
      <c r="A4891" s="33"/>
      <c r="B4891" s="33"/>
      <c r="G4891" s="33"/>
    </row>
    <row r="4892" spans="1:7" ht="15.75">
      <c r="A4892" s="33"/>
      <c r="B4892" s="33"/>
      <c r="G4892" s="33"/>
    </row>
    <row r="4893" spans="1:7" ht="15.75">
      <c r="A4893" s="33"/>
      <c r="B4893" s="33"/>
      <c r="G4893" s="33"/>
    </row>
    <row r="4894" spans="1:7" ht="15.75">
      <c r="A4894" s="33"/>
      <c r="B4894" s="33"/>
      <c r="G4894" s="33"/>
    </row>
    <row r="4895" spans="1:7" ht="15.75">
      <c r="A4895" s="33"/>
      <c r="B4895" s="33"/>
      <c r="G4895" s="33"/>
    </row>
    <row r="4896" spans="1:7" ht="15.75">
      <c r="A4896" s="33"/>
      <c r="B4896" s="33"/>
      <c r="G4896" s="33"/>
    </row>
    <row r="4897" spans="1:7" ht="15.75">
      <c r="A4897" s="33"/>
      <c r="B4897" s="33"/>
      <c r="G4897" s="33"/>
    </row>
    <row r="4898" spans="1:7" ht="15.75">
      <c r="A4898" s="33"/>
      <c r="B4898" s="33"/>
      <c r="G4898" s="33"/>
    </row>
    <row r="4899" spans="1:7" ht="15.75">
      <c r="A4899" s="33"/>
      <c r="B4899" s="33"/>
      <c r="G4899" s="33"/>
    </row>
    <row r="4900" spans="1:7" ht="15.75">
      <c r="A4900" s="33"/>
      <c r="B4900" s="33"/>
      <c r="G4900" s="33"/>
    </row>
    <row r="4901" spans="1:7" ht="15.75">
      <c r="A4901" s="33"/>
      <c r="B4901" s="33"/>
      <c r="G4901" s="33"/>
    </row>
    <row r="4902" spans="1:7" ht="15.75">
      <c r="A4902" s="33"/>
      <c r="B4902" s="33"/>
      <c r="G4902" s="33"/>
    </row>
    <row r="4903" spans="1:7" ht="15.75">
      <c r="A4903" s="33"/>
      <c r="B4903" s="33"/>
      <c r="G4903" s="33"/>
    </row>
    <row r="4904" spans="1:7" ht="15.75">
      <c r="A4904" s="33"/>
      <c r="B4904" s="33"/>
      <c r="G4904" s="33"/>
    </row>
    <row r="4905" spans="1:7" ht="15.75">
      <c r="A4905" s="33"/>
      <c r="B4905" s="33"/>
      <c r="G4905" s="33"/>
    </row>
    <row r="4906" spans="1:7" ht="15.75">
      <c r="A4906" s="33"/>
      <c r="B4906" s="33"/>
      <c r="G4906" s="33"/>
    </row>
    <row r="4907" spans="1:7" ht="15.75">
      <c r="A4907" s="33"/>
      <c r="B4907" s="33"/>
      <c r="G4907" s="33"/>
    </row>
    <row r="4908" spans="1:7" ht="15.75">
      <c r="A4908" s="33"/>
      <c r="B4908" s="33"/>
      <c r="G4908" s="33"/>
    </row>
    <row r="4909" spans="1:7" ht="15.75">
      <c r="A4909" s="33"/>
      <c r="B4909" s="33"/>
      <c r="G4909" s="33"/>
    </row>
    <row r="4910" spans="1:7" ht="15.75">
      <c r="A4910" s="33"/>
      <c r="B4910" s="33"/>
      <c r="G4910" s="33"/>
    </row>
    <row r="4911" spans="1:7" ht="15.75">
      <c r="A4911" s="33"/>
      <c r="B4911" s="33"/>
      <c r="G4911" s="33"/>
    </row>
    <row r="4912" spans="1:7" ht="15.75">
      <c r="A4912" s="33"/>
      <c r="B4912" s="33"/>
      <c r="G4912" s="33"/>
    </row>
    <row r="4913" spans="1:7" ht="15.75">
      <c r="A4913" s="33"/>
      <c r="B4913" s="33"/>
      <c r="G4913" s="33"/>
    </row>
    <row r="4914" spans="1:7" ht="15.75">
      <c r="A4914" s="33"/>
      <c r="B4914" s="33"/>
      <c r="G4914" s="33"/>
    </row>
    <row r="4915" spans="1:7" ht="15.75">
      <c r="A4915" s="33"/>
      <c r="B4915" s="33"/>
      <c r="G4915" s="33"/>
    </row>
    <row r="4916" spans="1:7" ht="15.75">
      <c r="A4916" s="33"/>
      <c r="B4916" s="33"/>
      <c r="G4916" s="33"/>
    </row>
    <row r="4917" spans="1:7" ht="15.75">
      <c r="A4917" s="33"/>
      <c r="B4917" s="33"/>
      <c r="G4917" s="33"/>
    </row>
    <row r="4918" spans="1:7" ht="15.75">
      <c r="A4918" s="33"/>
      <c r="B4918" s="33"/>
      <c r="G4918" s="33"/>
    </row>
    <row r="4919" spans="1:7" ht="15.75">
      <c r="A4919" s="33"/>
      <c r="B4919" s="33"/>
      <c r="G4919" s="33"/>
    </row>
    <row r="4920" spans="1:7" ht="15.75">
      <c r="A4920" s="33"/>
      <c r="B4920" s="33"/>
      <c r="G4920" s="33"/>
    </row>
    <row r="4921" spans="1:7" ht="15.75">
      <c r="A4921" s="33"/>
      <c r="B4921" s="33"/>
      <c r="G4921" s="33"/>
    </row>
    <row r="4922" spans="1:7" ht="15.75">
      <c r="A4922" s="33"/>
      <c r="B4922" s="33"/>
      <c r="G4922" s="33"/>
    </row>
    <row r="4923" spans="1:7" ht="15.75">
      <c r="A4923" s="33"/>
      <c r="B4923" s="33"/>
      <c r="G4923" s="33"/>
    </row>
    <row r="4924" spans="1:7" ht="15.75">
      <c r="A4924" s="33"/>
      <c r="B4924" s="33"/>
      <c r="G4924" s="33"/>
    </row>
    <row r="4925" spans="1:7" ht="15.75">
      <c r="A4925" s="33"/>
      <c r="B4925" s="33"/>
      <c r="G4925" s="33"/>
    </row>
    <row r="4926" spans="1:7" ht="15.75">
      <c r="A4926" s="33"/>
      <c r="B4926" s="33"/>
      <c r="G4926" s="33"/>
    </row>
    <row r="4927" spans="1:7" ht="15.75">
      <c r="A4927" s="33"/>
      <c r="B4927" s="33"/>
      <c r="G4927" s="33"/>
    </row>
    <row r="4928" spans="1:7" ht="15.75">
      <c r="A4928" s="33"/>
      <c r="B4928" s="33"/>
      <c r="G4928" s="33"/>
    </row>
    <row r="4929" spans="1:7" ht="15.75">
      <c r="A4929" s="33"/>
      <c r="B4929" s="33"/>
      <c r="G4929" s="33"/>
    </row>
    <row r="4930" spans="1:7" ht="15.75">
      <c r="A4930" s="33"/>
      <c r="B4930" s="33"/>
      <c r="G4930" s="33"/>
    </row>
    <row r="4931" spans="1:7" ht="15.75">
      <c r="A4931" s="33"/>
      <c r="B4931" s="33"/>
      <c r="G4931" s="33"/>
    </row>
    <row r="4932" spans="1:7" ht="15.75">
      <c r="A4932" s="33"/>
      <c r="B4932" s="33"/>
      <c r="G4932" s="33"/>
    </row>
    <row r="4933" spans="1:7" ht="15.75">
      <c r="A4933" s="33"/>
      <c r="B4933" s="33"/>
      <c r="G4933" s="33"/>
    </row>
    <row r="4934" spans="1:7" ht="15.75">
      <c r="A4934" s="33"/>
      <c r="B4934" s="33"/>
      <c r="G4934" s="33"/>
    </row>
    <row r="4935" spans="1:7" ht="15.75">
      <c r="A4935" s="33"/>
      <c r="B4935" s="33"/>
      <c r="G4935" s="33"/>
    </row>
    <row r="4936" spans="1:7" ht="15.75">
      <c r="A4936" s="33"/>
      <c r="B4936" s="33"/>
      <c r="G4936" s="33"/>
    </row>
    <row r="4937" spans="1:7" ht="15.75">
      <c r="A4937" s="33"/>
      <c r="B4937" s="33"/>
      <c r="G4937" s="33"/>
    </row>
    <row r="4938" spans="1:7" ht="15.75">
      <c r="A4938" s="33"/>
      <c r="B4938" s="33"/>
      <c r="G4938" s="33"/>
    </row>
    <row r="4939" spans="1:7" ht="15.75">
      <c r="A4939" s="33"/>
      <c r="B4939" s="33"/>
      <c r="G4939" s="33"/>
    </row>
    <row r="4940" spans="1:7" ht="15.75">
      <c r="A4940" s="33"/>
      <c r="B4940" s="33"/>
      <c r="G4940" s="33"/>
    </row>
    <row r="4941" spans="1:7" ht="15.75">
      <c r="A4941" s="33"/>
      <c r="B4941" s="33"/>
      <c r="G4941" s="33"/>
    </row>
    <row r="4942" spans="1:7" ht="15.75">
      <c r="A4942" s="33"/>
      <c r="B4942" s="33"/>
      <c r="G4942" s="33"/>
    </row>
    <row r="4943" spans="1:7" ht="15.75">
      <c r="A4943" s="33"/>
      <c r="B4943" s="33"/>
      <c r="G4943" s="33"/>
    </row>
    <row r="4944" spans="1:7" ht="15.75">
      <c r="A4944" s="33"/>
      <c r="B4944" s="33"/>
      <c r="G4944" s="33"/>
    </row>
    <row r="4945" spans="1:7" ht="15.75">
      <c r="A4945" s="33"/>
      <c r="B4945" s="33"/>
      <c r="G4945" s="33"/>
    </row>
    <row r="4946" spans="1:7" ht="15.75">
      <c r="A4946" s="33"/>
      <c r="B4946" s="33"/>
      <c r="G4946" s="33"/>
    </row>
    <row r="4947" spans="1:7" ht="15.75">
      <c r="A4947" s="33"/>
      <c r="B4947" s="33"/>
      <c r="G4947" s="33"/>
    </row>
    <row r="4948" spans="1:7" ht="15.75">
      <c r="A4948" s="33"/>
      <c r="B4948" s="33"/>
      <c r="G4948" s="33"/>
    </row>
    <row r="4949" spans="1:7" ht="15.75">
      <c r="A4949" s="33"/>
      <c r="B4949" s="33"/>
      <c r="G4949" s="33"/>
    </row>
    <row r="4950" spans="1:7" ht="15.75">
      <c r="A4950" s="33"/>
      <c r="B4950" s="33"/>
      <c r="G4950" s="33"/>
    </row>
    <row r="4951" spans="1:7" ht="15.75">
      <c r="A4951" s="33"/>
      <c r="B4951" s="33"/>
      <c r="G4951" s="33"/>
    </row>
    <row r="4952" spans="1:7" ht="15.75">
      <c r="A4952" s="33"/>
      <c r="B4952" s="33"/>
      <c r="G4952" s="33"/>
    </row>
    <row r="4953" spans="1:7" ht="15.75">
      <c r="A4953" s="33"/>
      <c r="B4953" s="33"/>
      <c r="G4953" s="33"/>
    </row>
    <row r="4954" spans="1:7" ht="15.75">
      <c r="A4954" s="33"/>
      <c r="B4954" s="33"/>
      <c r="G4954" s="33"/>
    </row>
    <row r="4955" spans="1:7" ht="15.75">
      <c r="A4955" s="33"/>
      <c r="B4955" s="33"/>
      <c r="G4955" s="33"/>
    </row>
    <row r="4956" spans="1:7" ht="15.75">
      <c r="A4956" s="33"/>
      <c r="B4956" s="33"/>
      <c r="G4956" s="33"/>
    </row>
    <row r="4957" spans="1:7" ht="15.75">
      <c r="A4957" s="33"/>
      <c r="B4957" s="33"/>
      <c r="G4957" s="33"/>
    </row>
    <row r="4958" spans="1:7" ht="15.75">
      <c r="A4958" s="33"/>
      <c r="B4958" s="33"/>
      <c r="G4958" s="33"/>
    </row>
    <row r="4959" spans="1:7" ht="15.75">
      <c r="A4959" s="33"/>
      <c r="B4959" s="33"/>
      <c r="G4959" s="33"/>
    </row>
    <row r="4960" spans="1:7" ht="15.75">
      <c r="A4960" s="33"/>
      <c r="B4960" s="33"/>
      <c r="G4960" s="33"/>
    </row>
    <row r="4961" spans="1:7" ht="15.75">
      <c r="A4961" s="33"/>
      <c r="B4961" s="33"/>
      <c r="G4961" s="33"/>
    </row>
    <row r="4962" spans="1:7" ht="15.75">
      <c r="A4962" s="33"/>
      <c r="B4962" s="33"/>
      <c r="G4962" s="33"/>
    </row>
    <row r="4963" spans="1:7" ht="15.75">
      <c r="A4963" s="33"/>
      <c r="B4963" s="33"/>
      <c r="G4963" s="33"/>
    </row>
    <row r="4964" spans="1:7" ht="15.75">
      <c r="A4964" s="33"/>
      <c r="B4964" s="33"/>
      <c r="G4964" s="33"/>
    </row>
    <row r="4965" spans="1:7" ht="15.75">
      <c r="A4965" s="33"/>
      <c r="B4965" s="33"/>
      <c r="G4965" s="33"/>
    </row>
    <row r="4966" spans="1:7" ht="15.75">
      <c r="A4966" s="33"/>
      <c r="B4966" s="33"/>
      <c r="G4966" s="33"/>
    </row>
    <row r="4967" spans="1:7" ht="15.75">
      <c r="A4967" s="33"/>
      <c r="B4967" s="33"/>
      <c r="G4967" s="33"/>
    </row>
    <row r="4968" spans="1:7" ht="15.75">
      <c r="A4968" s="33"/>
      <c r="B4968" s="33"/>
      <c r="G4968" s="33"/>
    </row>
    <row r="4969" spans="1:7" ht="15.75">
      <c r="A4969" s="33"/>
      <c r="B4969" s="33"/>
      <c r="G4969" s="33"/>
    </row>
    <row r="4970" spans="1:7" ht="15.75">
      <c r="A4970" s="33"/>
      <c r="B4970" s="33"/>
      <c r="G4970" s="33"/>
    </row>
    <row r="4971" spans="1:7" ht="15.75">
      <c r="A4971" s="33"/>
      <c r="B4971" s="33"/>
      <c r="G4971" s="33"/>
    </row>
    <row r="4972" spans="1:7" ht="15.75">
      <c r="A4972" s="33"/>
      <c r="B4972" s="33"/>
      <c r="G4972" s="33"/>
    </row>
    <row r="4973" spans="1:7" ht="15.75">
      <c r="A4973" s="33"/>
      <c r="B4973" s="33"/>
      <c r="G4973" s="33"/>
    </row>
    <row r="4974" spans="1:7" ht="15.75">
      <c r="A4974" s="33"/>
      <c r="B4974" s="33"/>
      <c r="G4974" s="33"/>
    </row>
    <row r="4975" spans="1:7" ht="15.75">
      <c r="A4975" s="33"/>
      <c r="B4975" s="33"/>
      <c r="G4975" s="33"/>
    </row>
    <row r="4976" spans="1:7" ht="15.75">
      <c r="A4976" s="33"/>
      <c r="B4976" s="33"/>
      <c r="G4976" s="33"/>
    </row>
    <row r="4977" spans="1:7" ht="15.75">
      <c r="A4977" s="33"/>
      <c r="B4977" s="33"/>
      <c r="G4977" s="33"/>
    </row>
    <row r="4978" spans="1:7" ht="15.75">
      <c r="A4978" s="33"/>
      <c r="B4978" s="33"/>
      <c r="G4978" s="33"/>
    </row>
    <row r="4979" spans="1:7" ht="15.75">
      <c r="A4979" s="33"/>
      <c r="B4979" s="33"/>
      <c r="G4979" s="33"/>
    </row>
    <row r="4980" spans="1:7" ht="15.75">
      <c r="A4980" s="33"/>
      <c r="B4980" s="33"/>
      <c r="G4980" s="33"/>
    </row>
    <row r="4981" spans="1:7" ht="15.75">
      <c r="A4981" s="33"/>
      <c r="B4981" s="33"/>
      <c r="G4981" s="33"/>
    </row>
    <row r="4982" spans="1:7" ht="15.75">
      <c r="A4982" s="33"/>
      <c r="B4982" s="33"/>
      <c r="G4982" s="33"/>
    </row>
    <row r="4983" spans="1:7" ht="15.75">
      <c r="A4983" s="33"/>
      <c r="B4983" s="33"/>
      <c r="G4983" s="33"/>
    </row>
    <row r="4984" spans="1:7" ht="15.75">
      <c r="A4984" s="33"/>
      <c r="B4984" s="33"/>
      <c r="G4984" s="33"/>
    </row>
    <row r="4985" spans="1:7" ht="15.75">
      <c r="A4985" s="33"/>
      <c r="B4985" s="33"/>
      <c r="G4985" s="33"/>
    </row>
    <row r="4986" spans="1:7" ht="15.75">
      <c r="A4986" s="33"/>
      <c r="B4986" s="33"/>
      <c r="G4986" s="33"/>
    </row>
    <row r="4987" spans="1:7" ht="15.75">
      <c r="A4987" s="33"/>
      <c r="B4987" s="33"/>
      <c r="G4987" s="33"/>
    </row>
    <row r="4988" spans="1:7" ht="15.75">
      <c r="A4988" s="33"/>
      <c r="B4988" s="33"/>
      <c r="G4988" s="33"/>
    </row>
    <row r="4989" spans="1:7" ht="15.75">
      <c r="A4989" s="33"/>
      <c r="B4989" s="33"/>
      <c r="G4989" s="33"/>
    </row>
    <row r="4990" spans="1:7" ht="15.75">
      <c r="A4990" s="33"/>
      <c r="B4990" s="33"/>
      <c r="G4990" s="33"/>
    </row>
    <row r="4991" spans="1:7" ht="15.75">
      <c r="A4991" s="33"/>
      <c r="B4991" s="33"/>
      <c r="G4991" s="33"/>
    </row>
    <row r="4992" spans="1:7" ht="15.75">
      <c r="A4992" s="33"/>
      <c r="B4992" s="33"/>
      <c r="G4992" s="33"/>
    </row>
    <row r="4993" spans="1:7" ht="15.75">
      <c r="A4993" s="33"/>
      <c r="B4993" s="33"/>
      <c r="G4993" s="33"/>
    </row>
    <row r="4994" spans="1:7" ht="15.75">
      <c r="A4994" s="33"/>
      <c r="B4994" s="33"/>
      <c r="G4994" s="33"/>
    </row>
    <row r="4995" spans="1:7" ht="15.75">
      <c r="A4995" s="33"/>
      <c r="B4995" s="33"/>
      <c r="G4995" s="33"/>
    </row>
    <row r="4996" spans="1:7" ht="15.75">
      <c r="A4996" s="33"/>
      <c r="B4996" s="33"/>
      <c r="G4996" s="33"/>
    </row>
    <row r="4997" spans="1:7" ht="15.75">
      <c r="A4997" s="33"/>
      <c r="B4997" s="33"/>
      <c r="G4997" s="33"/>
    </row>
    <row r="4998" spans="1:7" ht="15.75">
      <c r="A4998" s="33"/>
      <c r="B4998" s="33"/>
      <c r="G4998" s="33"/>
    </row>
    <row r="4999" spans="1:7" ht="15.75">
      <c r="A4999" s="33"/>
      <c r="B4999" s="33"/>
      <c r="G4999" s="33"/>
    </row>
    <row r="5000" spans="1:7" ht="15.75">
      <c r="A5000" s="33"/>
      <c r="B5000" s="33"/>
      <c r="G5000" s="33"/>
    </row>
    <row r="5001" spans="1:7" ht="15.75">
      <c r="A5001" s="33"/>
      <c r="B5001" s="33"/>
      <c r="G5001" s="33"/>
    </row>
    <row r="5002" spans="1:7" ht="15.75">
      <c r="A5002" s="33"/>
      <c r="B5002" s="33"/>
      <c r="G5002" s="33"/>
    </row>
    <row r="5003" spans="1:7" ht="15.75">
      <c r="A5003" s="33"/>
      <c r="B5003" s="33"/>
      <c r="G5003" s="33"/>
    </row>
    <row r="5004" spans="1:7" ht="15.75">
      <c r="A5004" s="33"/>
      <c r="B5004" s="33"/>
      <c r="G5004" s="33"/>
    </row>
    <row r="5005" spans="1:7" ht="15.75">
      <c r="A5005" s="33"/>
      <c r="B5005" s="33"/>
      <c r="G5005" s="33"/>
    </row>
    <row r="5006" spans="1:7" ht="15.75">
      <c r="A5006" s="33"/>
      <c r="B5006" s="33"/>
      <c r="G5006" s="33"/>
    </row>
    <row r="5007" spans="1:7" ht="15.75">
      <c r="A5007" s="33"/>
      <c r="B5007" s="33"/>
      <c r="G5007" s="33"/>
    </row>
    <row r="5008" spans="1:7" ht="15.75">
      <c r="A5008" s="33"/>
      <c r="B5008" s="33"/>
      <c r="G5008" s="33"/>
    </row>
    <row r="5009" spans="1:7" ht="15.75">
      <c r="A5009" s="33"/>
      <c r="B5009" s="33"/>
      <c r="G5009" s="33"/>
    </row>
    <row r="5010" spans="1:7" ht="15.75">
      <c r="A5010" s="33"/>
      <c r="B5010" s="33"/>
      <c r="G5010" s="33"/>
    </row>
    <row r="5011" spans="1:7" ht="15.75">
      <c r="A5011" s="33"/>
      <c r="B5011" s="33"/>
      <c r="G5011" s="33"/>
    </row>
    <row r="5012" spans="1:7" ht="15.75">
      <c r="A5012" s="33"/>
      <c r="B5012" s="33"/>
      <c r="G5012" s="33"/>
    </row>
    <row r="5013" spans="1:7" ht="15.75">
      <c r="A5013" s="33"/>
      <c r="B5013" s="33"/>
      <c r="G5013" s="33"/>
    </row>
    <row r="5014" spans="1:7" ht="15.75">
      <c r="A5014" s="33"/>
      <c r="B5014" s="33"/>
      <c r="G5014" s="33"/>
    </row>
    <row r="5015" spans="1:7" ht="15.75">
      <c r="A5015" s="33"/>
      <c r="B5015" s="33"/>
      <c r="G5015" s="33"/>
    </row>
    <row r="5016" spans="1:7" ht="15.75">
      <c r="A5016" s="33"/>
      <c r="B5016" s="33"/>
      <c r="G5016" s="33"/>
    </row>
    <row r="5017" spans="1:7" ht="15.75">
      <c r="A5017" s="33"/>
      <c r="B5017" s="33"/>
      <c r="G5017" s="33"/>
    </row>
    <row r="5018" spans="1:7" ht="15.75">
      <c r="A5018" s="33"/>
      <c r="B5018" s="33"/>
      <c r="G5018" s="33"/>
    </row>
    <row r="5019" spans="1:7" ht="15.75">
      <c r="A5019" s="33"/>
      <c r="B5019" s="33"/>
      <c r="G5019" s="33"/>
    </row>
    <row r="5020" spans="1:7" ht="15.75">
      <c r="A5020" s="33"/>
      <c r="B5020" s="33"/>
      <c r="G5020" s="33"/>
    </row>
    <row r="5021" spans="1:7" ht="15.75">
      <c r="A5021" s="33"/>
      <c r="B5021" s="33"/>
      <c r="G5021" s="33"/>
    </row>
    <row r="5022" spans="1:7" ht="15.75">
      <c r="A5022" s="33"/>
      <c r="B5022" s="33"/>
      <c r="G5022" s="33"/>
    </row>
    <row r="5023" spans="1:7" ht="15.75">
      <c r="A5023" s="33"/>
      <c r="B5023" s="33"/>
      <c r="G5023" s="33"/>
    </row>
    <row r="5024" spans="1:7" ht="15.75">
      <c r="A5024" s="33"/>
      <c r="B5024" s="33"/>
      <c r="G5024" s="33"/>
    </row>
    <row r="5025" spans="1:7" ht="15.75">
      <c r="A5025" s="33"/>
      <c r="B5025" s="33"/>
      <c r="G5025" s="33"/>
    </row>
    <row r="5026" spans="1:7" ht="15.75">
      <c r="A5026" s="33"/>
      <c r="B5026" s="33"/>
      <c r="G5026" s="33"/>
    </row>
    <row r="5027" spans="1:7" ht="15.75">
      <c r="A5027" s="33"/>
      <c r="B5027" s="33"/>
      <c r="G5027" s="33"/>
    </row>
    <row r="5028" spans="1:7" ht="15.75">
      <c r="A5028" s="33"/>
      <c r="B5028" s="33"/>
      <c r="G5028" s="33"/>
    </row>
    <row r="5029" spans="1:7" ht="15.75">
      <c r="A5029" s="33"/>
      <c r="B5029" s="33"/>
      <c r="G5029" s="33"/>
    </row>
    <row r="5030" spans="1:7" ht="15.75">
      <c r="A5030" s="33"/>
      <c r="B5030" s="33"/>
      <c r="G5030" s="33"/>
    </row>
    <row r="5031" spans="1:7" ht="15.75">
      <c r="A5031" s="33"/>
      <c r="B5031" s="33"/>
      <c r="G5031" s="33"/>
    </row>
    <row r="5032" spans="1:7" ht="15.75">
      <c r="A5032" s="33"/>
      <c r="B5032" s="33"/>
      <c r="G5032" s="33"/>
    </row>
    <row r="5033" spans="1:7" ht="15.75">
      <c r="A5033" s="33"/>
      <c r="B5033" s="33"/>
      <c r="G5033" s="33"/>
    </row>
    <row r="5034" spans="1:7" ht="15.75">
      <c r="A5034" s="33"/>
      <c r="B5034" s="33"/>
      <c r="G5034" s="33"/>
    </row>
    <row r="5035" spans="1:7" ht="15.75">
      <c r="A5035" s="33"/>
      <c r="B5035" s="33"/>
      <c r="G5035" s="33"/>
    </row>
    <row r="5036" spans="1:7" ht="15.75">
      <c r="A5036" s="33"/>
      <c r="B5036" s="33"/>
      <c r="G5036" s="33"/>
    </row>
    <row r="5037" spans="1:7" ht="15.75">
      <c r="A5037" s="33"/>
      <c r="B5037" s="33"/>
      <c r="G5037" s="33"/>
    </row>
    <row r="5038" spans="1:7" ht="15.75">
      <c r="A5038" s="33"/>
      <c r="B5038" s="33"/>
      <c r="G5038" s="33"/>
    </row>
    <row r="5039" spans="1:7" ht="15.75">
      <c r="A5039" s="33"/>
      <c r="B5039" s="33"/>
      <c r="G5039" s="33"/>
    </row>
    <row r="5040" spans="1:7" ht="15.75">
      <c r="A5040" s="33"/>
      <c r="B5040" s="33"/>
      <c r="G5040" s="33"/>
    </row>
    <row r="5041" spans="1:7" ht="15.75">
      <c r="A5041" s="33"/>
      <c r="B5041" s="33"/>
      <c r="G5041" s="33"/>
    </row>
    <row r="5042" spans="1:7" ht="15.75">
      <c r="A5042" s="33"/>
      <c r="B5042" s="33"/>
      <c r="G5042" s="33"/>
    </row>
    <row r="5043" spans="1:7" ht="15.75">
      <c r="A5043" s="33"/>
      <c r="B5043" s="33"/>
      <c r="G5043" s="33"/>
    </row>
    <row r="5044" spans="1:7" ht="15.75">
      <c r="A5044" s="33"/>
      <c r="B5044" s="33"/>
      <c r="G5044" s="33"/>
    </row>
    <row r="5045" spans="1:7" ht="15.75">
      <c r="A5045" s="33"/>
      <c r="B5045" s="33"/>
      <c r="G5045" s="33"/>
    </row>
    <row r="5046" spans="1:7" ht="15.75">
      <c r="A5046" s="33"/>
      <c r="B5046" s="33"/>
      <c r="G5046" s="33"/>
    </row>
    <row r="5047" spans="1:7" ht="15.75">
      <c r="A5047" s="33"/>
      <c r="B5047" s="33"/>
      <c r="G5047" s="33"/>
    </row>
    <row r="5048" spans="1:7" ht="15.75">
      <c r="A5048" s="33"/>
      <c r="B5048" s="33"/>
      <c r="G5048" s="33"/>
    </row>
    <row r="5049" spans="1:7" ht="15.75">
      <c r="A5049" s="33"/>
      <c r="B5049" s="33"/>
      <c r="G5049" s="33"/>
    </row>
    <row r="5050" spans="1:7" ht="15.75">
      <c r="A5050" s="33"/>
      <c r="B5050" s="33"/>
      <c r="G5050" s="33"/>
    </row>
    <row r="5051" spans="1:7" ht="15.75">
      <c r="A5051" s="33"/>
      <c r="B5051" s="33"/>
      <c r="G5051" s="33"/>
    </row>
    <row r="5052" spans="1:7" ht="15.75">
      <c r="A5052" s="33"/>
      <c r="B5052" s="33"/>
      <c r="G5052" s="33"/>
    </row>
    <row r="5053" spans="1:7" ht="15.75">
      <c r="A5053" s="33"/>
      <c r="B5053" s="33"/>
      <c r="G5053" s="33"/>
    </row>
    <row r="5054" spans="1:7" ht="15.75">
      <c r="A5054" s="33"/>
      <c r="B5054" s="33"/>
      <c r="G5054" s="33"/>
    </row>
    <row r="5055" spans="1:7" ht="15.75">
      <c r="A5055" s="33"/>
      <c r="B5055" s="33"/>
      <c r="G5055" s="33"/>
    </row>
    <row r="5056" spans="1:7" ht="15.75">
      <c r="A5056" s="33"/>
      <c r="B5056" s="33"/>
      <c r="G5056" s="33"/>
    </row>
    <row r="5057" spans="1:7" ht="15.75">
      <c r="A5057" s="33"/>
      <c r="B5057" s="33"/>
      <c r="G5057" s="33"/>
    </row>
    <row r="5058" spans="1:7" ht="15.75">
      <c r="A5058" s="33"/>
      <c r="B5058" s="33"/>
      <c r="G5058" s="33"/>
    </row>
    <row r="5059" spans="1:7" ht="15.75">
      <c r="A5059" s="33"/>
      <c r="B5059" s="33"/>
      <c r="G5059" s="33"/>
    </row>
    <row r="5060" spans="1:7" ht="15.75">
      <c r="A5060" s="33"/>
      <c r="B5060" s="33"/>
      <c r="G5060" s="33"/>
    </row>
    <row r="5061" spans="1:7" ht="15.75">
      <c r="A5061" s="33"/>
      <c r="B5061" s="33"/>
      <c r="G5061" s="33"/>
    </row>
    <row r="5062" spans="1:7" ht="15.75">
      <c r="A5062" s="33"/>
      <c r="B5062" s="33"/>
      <c r="G5062" s="33"/>
    </row>
    <row r="5063" spans="1:7" ht="15.75">
      <c r="A5063" s="33"/>
      <c r="B5063" s="33"/>
      <c r="G5063" s="33"/>
    </row>
    <row r="5064" spans="1:7" ht="15.75">
      <c r="A5064" s="33"/>
      <c r="B5064" s="33"/>
      <c r="G5064" s="33"/>
    </row>
    <row r="5065" spans="1:7" ht="15.75">
      <c r="A5065" s="33"/>
      <c r="B5065" s="33"/>
      <c r="G5065" s="33"/>
    </row>
    <row r="5066" spans="1:7" ht="15.75">
      <c r="A5066" s="33"/>
      <c r="B5066" s="33"/>
      <c r="G5066" s="33"/>
    </row>
    <row r="5067" spans="1:7" ht="15.75">
      <c r="A5067" s="33"/>
      <c r="B5067" s="33"/>
      <c r="G5067" s="33"/>
    </row>
    <row r="5068" spans="1:7" ht="15.75">
      <c r="A5068" s="33"/>
      <c r="B5068" s="33"/>
      <c r="G5068" s="33"/>
    </row>
    <row r="5069" spans="1:7" ht="15.75">
      <c r="A5069" s="33"/>
      <c r="B5069" s="33"/>
      <c r="G5069" s="33"/>
    </row>
    <row r="5070" spans="1:7" ht="15.75">
      <c r="A5070" s="33"/>
      <c r="B5070" s="33"/>
      <c r="G5070" s="33"/>
    </row>
    <row r="5071" spans="1:7" ht="15.75">
      <c r="A5071" s="33"/>
      <c r="B5071" s="33"/>
      <c r="G5071" s="33"/>
    </row>
    <row r="5072" spans="1:7" ht="15.75">
      <c r="A5072" s="33"/>
      <c r="B5072" s="33"/>
      <c r="G5072" s="33"/>
    </row>
    <row r="5073" spans="1:7" ht="15.75">
      <c r="A5073" s="33"/>
      <c r="B5073" s="33"/>
      <c r="G5073" s="33"/>
    </row>
    <row r="5074" spans="1:7" ht="15.75">
      <c r="A5074" s="33"/>
      <c r="B5074" s="33"/>
      <c r="G5074" s="33"/>
    </row>
    <row r="5075" spans="1:7" ht="15.75">
      <c r="A5075" s="33"/>
      <c r="B5075" s="33"/>
      <c r="G5075" s="33"/>
    </row>
    <row r="5076" spans="1:7" ht="15.75">
      <c r="A5076" s="33"/>
      <c r="B5076" s="33"/>
      <c r="G5076" s="33"/>
    </row>
    <row r="5077" spans="1:7" ht="15.75">
      <c r="A5077" s="33"/>
      <c r="B5077" s="33"/>
      <c r="G5077" s="33"/>
    </row>
    <row r="5078" spans="1:7" ht="15.75">
      <c r="A5078" s="33"/>
      <c r="B5078" s="33"/>
      <c r="G5078" s="33"/>
    </row>
    <row r="5079" spans="1:7" ht="15.75">
      <c r="A5079" s="33"/>
      <c r="B5079" s="33"/>
      <c r="G5079" s="33"/>
    </row>
    <row r="5080" spans="1:7" ht="15.75">
      <c r="A5080" s="33"/>
      <c r="B5080" s="33"/>
      <c r="G5080" s="33"/>
    </row>
    <row r="5081" spans="1:7" ht="15.75">
      <c r="A5081" s="33"/>
      <c r="B5081" s="33"/>
      <c r="G5081" s="33"/>
    </row>
    <row r="5082" spans="1:7" ht="15.75">
      <c r="A5082" s="33"/>
      <c r="B5082" s="33"/>
      <c r="G5082" s="33"/>
    </row>
    <row r="5083" spans="1:7" ht="15.75">
      <c r="A5083" s="33"/>
      <c r="B5083" s="33"/>
      <c r="G5083" s="33"/>
    </row>
    <row r="5084" spans="1:7" ht="15.75">
      <c r="A5084" s="33"/>
      <c r="B5084" s="33"/>
      <c r="G5084" s="33"/>
    </row>
    <row r="5085" spans="1:7" ht="15.75">
      <c r="A5085" s="33"/>
      <c r="B5085" s="33"/>
      <c r="G5085" s="33"/>
    </row>
    <row r="5086" spans="1:7" ht="15.75">
      <c r="A5086" s="33"/>
      <c r="B5086" s="33"/>
      <c r="G5086" s="33"/>
    </row>
    <row r="5087" spans="1:7" ht="15.75">
      <c r="A5087" s="33"/>
      <c r="B5087" s="33"/>
      <c r="G5087" s="33"/>
    </row>
    <row r="5088" spans="1:7" ht="15.75">
      <c r="A5088" s="33"/>
      <c r="B5088" s="33"/>
      <c r="G5088" s="33"/>
    </row>
    <row r="5089" spans="1:7" ht="15.75">
      <c r="A5089" s="33"/>
      <c r="B5089" s="33"/>
      <c r="G5089" s="33"/>
    </row>
    <row r="5090" spans="1:7" ht="15.75">
      <c r="A5090" s="33"/>
      <c r="B5090" s="33"/>
      <c r="G5090" s="33"/>
    </row>
    <row r="5091" spans="1:7" ht="15.75">
      <c r="A5091" s="33"/>
      <c r="B5091" s="33"/>
      <c r="G5091" s="33"/>
    </row>
    <row r="5092" spans="1:7" ht="15.75">
      <c r="A5092" s="33"/>
      <c r="B5092" s="33"/>
      <c r="G5092" s="33"/>
    </row>
    <row r="5093" spans="1:7" ht="15.75">
      <c r="A5093" s="33"/>
      <c r="B5093" s="33"/>
      <c r="G5093" s="33"/>
    </row>
    <row r="5094" spans="1:7" ht="15.75">
      <c r="A5094" s="33"/>
      <c r="B5094" s="33"/>
      <c r="G5094" s="33"/>
    </row>
    <row r="5095" spans="1:7" ht="15.75">
      <c r="A5095" s="33"/>
      <c r="B5095" s="33"/>
      <c r="G5095" s="33"/>
    </row>
    <row r="5096" spans="1:7" ht="15.75">
      <c r="A5096" s="33"/>
      <c r="B5096" s="33"/>
      <c r="G5096" s="33"/>
    </row>
    <row r="5097" spans="1:7" ht="15.75">
      <c r="A5097" s="33"/>
      <c r="B5097" s="33"/>
      <c r="G5097" s="33"/>
    </row>
    <row r="5098" spans="1:7" ht="15.75">
      <c r="A5098" s="33"/>
      <c r="B5098" s="33"/>
      <c r="G5098" s="33"/>
    </row>
    <row r="5099" spans="1:7" ht="15.75">
      <c r="A5099" s="33"/>
      <c r="B5099" s="33"/>
      <c r="G5099" s="33"/>
    </row>
    <row r="5100" spans="1:7" ht="15.75">
      <c r="A5100" s="33"/>
      <c r="B5100" s="33"/>
      <c r="G5100" s="33"/>
    </row>
    <row r="5101" spans="1:7" ht="15.75">
      <c r="A5101" s="33"/>
      <c r="B5101" s="33"/>
      <c r="G5101" s="33"/>
    </row>
    <row r="5102" spans="1:7" ht="15.75">
      <c r="A5102" s="33"/>
      <c r="B5102" s="33"/>
      <c r="G5102" s="33"/>
    </row>
    <row r="5103" spans="1:7" ht="15.75">
      <c r="A5103" s="33"/>
      <c r="B5103" s="33"/>
      <c r="G5103" s="33"/>
    </row>
    <row r="5104" spans="1:7" ht="15.75">
      <c r="A5104" s="33"/>
      <c r="B5104" s="33"/>
      <c r="G5104" s="33"/>
    </row>
    <row r="5105" spans="1:7" ht="15.75">
      <c r="A5105" s="33"/>
      <c r="B5105" s="33"/>
      <c r="G5105" s="33"/>
    </row>
    <row r="5106" spans="1:7" ht="15.75">
      <c r="A5106" s="33"/>
      <c r="B5106" s="33"/>
      <c r="G5106" s="33"/>
    </row>
    <row r="5107" spans="1:7" ht="15.75">
      <c r="A5107" s="33"/>
      <c r="B5107" s="33"/>
      <c r="G5107" s="33"/>
    </row>
    <row r="5108" spans="1:7" ht="15.75">
      <c r="A5108" s="33"/>
      <c r="B5108" s="33"/>
      <c r="G5108" s="33"/>
    </row>
    <row r="5109" spans="1:7" ht="15.75">
      <c r="A5109" s="33"/>
      <c r="B5109" s="33"/>
      <c r="G5109" s="33"/>
    </row>
    <row r="5110" spans="1:7" ht="15.75">
      <c r="A5110" s="33"/>
      <c r="B5110" s="33"/>
      <c r="G5110" s="33"/>
    </row>
    <row r="5111" spans="1:7" ht="15.75">
      <c r="A5111" s="33"/>
      <c r="B5111" s="33"/>
      <c r="G5111" s="33"/>
    </row>
    <row r="5112" spans="1:7" ht="15.75">
      <c r="A5112" s="33"/>
      <c r="B5112" s="33"/>
      <c r="G5112" s="33"/>
    </row>
    <row r="5113" spans="1:7" ht="15.75">
      <c r="A5113" s="33"/>
      <c r="B5113" s="33"/>
      <c r="G5113" s="33"/>
    </row>
    <row r="5114" spans="1:7" ht="15.75">
      <c r="A5114" s="33"/>
      <c r="B5114" s="33"/>
      <c r="G5114" s="33"/>
    </row>
    <row r="5115" spans="1:7" ht="15.75">
      <c r="A5115" s="33"/>
      <c r="B5115" s="33"/>
      <c r="G5115" s="33"/>
    </row>
    <row r="5116" spans="1:7" ht="15.75">
      <c r="A5116" s="33"/>
      <c r="B5116" s="33"/>
      <c r="G5116" s="33"/>
    </row>
    <row r="5117" spans="1:7" ht="15.75">
      <c r="A5117" s="33"/>
      <c r="B5117" s="33"/>
      <c r="G5117" s="33"/>
    </row>
    <row r="5118" spans="1:7" ht="15.75">
      <c r="A5118" s="33"/>
      <c r="B5118" s="33"/>
      <c r="G5118" s="33"/>
    </row>
    <row r="5119" spans="1:7" ht="15.75">
      <c r="A5119" s="33"/>
      <c r="B5119" s="33"/>
      <c r="G5119" s="33"/>
    </row>
    <row r="5120" spans="1:7" ht="15.75">
      <c r="A5120" s="33"/>
      <c r="B5120" s="33"/>
      <c r="G5120" s="33"/>
    </row>
    <row r="5121" spans="1:7" ht="15.75">
      <c r="A5121" s="33"/>
      <c r="B5121" s="33"/>
      <c r="G5121" s="33"/>
    </row>
    <row r="5122" spans="1:7" ht="15.75">
      <c r="A5122" s="33"/>
      <c r="B5122" s="33"/>
      <c r="G5122" s="33"/>
    </row>
    <row r="5123" spans="1:7" ht="15.75">
      <c r="A5123" s="33"/>
      <c r="B5123" s="33"/>
      <c r="G5123" s="33"/>
    </row>
    <row r="5124" spans="1:7" ht="15.75">
      <c r="A5124" s="33"/>
      <c r="B5124" s="33"/>
      <c r="G5124" s="33"/>
    </row>
    <row r="5125" spans="1:7" ht="15.75">
      <c r="A5125" s="33"/>
      <c r="B5125" s="33"/>
      <c r="G5125" s="33"/>
    </row>
    <row r="5126" spans="1:7" ht="15.75">
      <c r="A5126" s="33"/>
      <c r="B5126" s="33"/>
      <c r="G5126" s="33"/>
    </row>
    <row r="5127" spans="1:7" ht="15.75">
      <c r="A5127" s="33"/>
      <c r="B5127" s="33"/>
      <c r="G5127" s="33"/>
    </row>
    <row r="5128" spans="1:7" ht="15.75">
      <c r="A5128" s="33"/>
      <c r="B5128" s="33"/>
      <c r="G5128" s="33"/>
    </row>
    <row r="5129" spans="1:7" ht="15.75">
      <c r="A5129" s="33"/>
      <c r="B5129" s="33"/>
      <c r="G5129" s="33"/>
    </row>
    <row r="5130" spans="1:7" ht="15.75">
      <c r="A5130" s="33"/>
      <c r="B5130" s="33"/>
      <c r="G5130" s="33"/>
    </row>
    <row r="5131" spans="1:7" ht="15.75">
      <c r="A5131" s="33"/>
      <c r="B5131" s="33"/>
      <c r="G5131" s="33"/>
    </row>
    <row r="5132" spans="1:7" ht="15.75">
      <c r="A5132" s="33"/>
      <c r="B5132" s="33"/>
      <c r="G5132" s="33"/>
    </row>
    <row r="5133" spans="1:7" ht="15.75">
      <c r="A5133" s="33"/>
      <c r="B5133" s="33"/>
      <c r="G5133" s="33"/>
    </row>
    <row r="5134" spans="1:7" ht="15.75">
      <c r="A5134" s="33"/>
      <c r="B5134" s="33"/>
      <c r="G5134" s="33"/>
    </row>
    <row r="5135" spans="1:7" ht="15.75">
      <c r="A5135" s="33"/>
      <c r="B5135" s="33"/>
      <c r="G5135" s="33"/>
    </row>
    <row r="5136" spans="1:7" ht="15.75">
      <c r="A5136" s="33"/>
      <c r="B5136" s="33"/>
      <c r="G5136" s="33"/>
    </row>
    <row r="5137" spans="1:7" ht="15.75">
      <c r="A5137" s="33"/>
      <c r="B5137" s="33"/>
      <c r="G5137" s="33"/>
    </row>
    <row r="5138" spans="1:7" ht="15.75">
      <c r="A5138" s="33"/>
      <c r="B5138" s="33"/>
      <c r="G5138" s="33"/>
    </row>
    <row r="5139" spans="1:7" ht="15.75">
      <c r="A5139" s="33"/>
      <c r="B5139" s="33"/>
      <c r="G5139" s="33"/>
    </row>
    <row r="5140" spans="1:7" ht="15.75">
      <c r="A5140" s="33"/>
      <c r="B5140" s="33"/>
      <c r="G5140" s="33"/>
    </row>
    <row r="5141" spans="1:7" ht="15.75">
      <c r="A5141" s="33"/>
      <c r="B5141" s="33"/>
      <c r="G5141" s="33"/>
    </row>
    <row r="5142" spans="1:7" ht="15.75">
      <c r="A5142" s="33"/>
      <c r="B5142" s="33"/>
      <c r="G5142" s="33"/>
    </row>
    <row r="5143" spans="1:7" ht="15.75">
      <c r="A5143" s="33"/>
      <c r="B5143" s="33"/>
      <c r="G5143" s="33"/>
    </row>
    <row r="5144" spans="1:7" ht="15.75">
      <c r="A5144" s="33"/>
      <c r="B5144" s="33"/>
      <c r="G5144" s="33"/>
    </row>
    <row r="5145" spans="1:7" ht="15.75">
      <c r="A5145" s="33"/>
      <c r="B5145" s="33"/>
      <c r="G5145" s="33"/>
    </row>
    <row r="5146" spans="1:7" ht="15.75">
      <c r="A5146" s="33"/>
      <c r="B5146" s="33"/>
      <c r="G5146" s="33"/>
    </row>
    <row r="5147" spans="1:7" ht="15.75">
      <c r="A5147" s="33"/>
      <c r="B5147" s="33"/>
      <c r="G5147" s="33"/>
    </row>
    <row r="5148" spans="1:7" ht="15.75">
      <c r="A5148" s="33"/>
      <c r="B5148" s="33"/>
      <c r="G5148" s="33"/>
    </row>
    <row r="5149" spans="1:7" ht="15.75">
      <c r="A5149" s="33"/>
      <c r="B5149" s="33"/>
      <c r="G5149" s="33"/>
    </row>
    <row r="5150" spans="1:7" ht="15.75">
      <c r="A5150" s="33"/>
      <c r="B5150" s="33"/>
      <c r="G5150" s="33"/>
    </row>
    <row r="5151" spans="1:7" ht="15.75">
      <c r="A5151" s="33"/>
      <c r="B5151" s="33"/>
      <c r="G5151" s="33"/>
    </row>
    <row r="5152" spans="1:7" ht="15.75">
      <c r="A5152" s="33"/>
      <c r="B5152" s="33"/>
      <c r="G5152" s="33"/>
    </row>
    <row r="5153" spans="1:7" ht="15.75">
      <c r="A5153" s="33"/>
      <c r="B5153" s="33"/>
      <c r="G5153" s="33"/>
    </row>
    <row r="5154" spans="1:7" ht="15.75">
      <c r="A5154" s="33"/>
      <c r="B5154" s="33"/>
      <c r="G5154" s="33"/>
    </row>
    <row r="5155" spans="1:7" ht="15.75">
      <c r="A5155" s="33"/>
      <c r="B5155" s="33"/>
      <c r="G5155" s="33"/>
    </row>
    <row r="5156" spans="1:7" ht="15.75">
      <c r="A5156" s="33"/>
      <c r="B5156" s="33"/>
      <c r="G5156" s="33"/>
    </row>
    <row r="5157" spans="1:7" ht="15.75">
      <c r="A5157" s="33"/>
      <c r="B5157" s="33"/>
      <c r="G5157" s="33"/>
    </row>
    <row r="5158" spans="1:7" ht="15.75">
      <c r="A5158" s="33"/>
      <c r="B5158" s="33"/>
      <c r="G5158" s="33"/>
    </row>
    <row r="5159" spans="1:7" ht="15.75">
      <c r="A5159" s="33"/>
      <c r="B5159" s="33"/>
      <c r="G5159" s="33"/>
    </row>
    <row r="5160" spans="1:7" ht="15.75">
      <c r="A5160" s="33"/>
      <c r="B5160" s="33"/>
      <c r="G5160" s="33"/>
    </row>
    <row r="5161" spans="1:7" ht="15.75">
      <c r="A5161" s="33"/>
      <c r="B5161" s="33"/>
      <c r="G5161" s="33"/>
    </row>
    <row r="5162" spans="1:7" ht="15.75">
      <c r="A5162" s="33"/>
      <c r="B5162" s="33"/>
      <c r="G5162" s="33"/>
    </row>
    <row r="5163" spans="1:7" ht="15.75">
      <c r="A5163" s="33"/>
      <c r="B5163" s="33"/>
      <c r="G5163" s="33"/>
    </row>
    <row r="5164" spans="1:7" ht="15.75">
      <c r="A5164" s="33"/>
      <c r="B5164" s="33"/>
      <c r="G5164" s="33"/>
    </row>
    <row r="5165" spans="1:7" ht="15.75">
      <c r="A5165" s="33"/>
      <c r="B5165" s="33"/>
      <c r="G5165" s="33"/>
    </row>
    <row r="5166" spans="1:7" ht="15.75">
      <c r="A5166" s="33"/>
      <c r="B5166" s="33"/>
      <c r="G5166" s="33"/>
    </row>
    <row r="5167" spans="1:7" ht="15.75">
      <c r="A5167" s="33"/>
      <c r="B5167" s="33"/>
      <c r="G5167" s="33"/>
    </row>
    <row r="5168" spans="1:7" ht="15.75">
      <c r="A5168" s="33"/>
      <c r="B5168" s="33"/>
      <c r="G5168" s="33"/>
    </row>
    <row r="5169" spans="1:7" ht="15.75">
      <c r="A5169" s="33"/>
      <c r="B5169" s="33"/>
      <c r="G5169" s="33"/>
    </row>
    <row r="5170" spans="1:7" ht="15.75">
      <c r="A5170" s="33"/>
      <c r="B5170" s="33"/>
      <c r="G5170" s="33"/>
    </row>
    <row r="5171" spans="1:7" ht="15.75">
      <c r="A5171" s="33"/>
      <c r="B5171" s="33"/>
      <c r="G5171" s="33"/>
    </row>
    <row r="5172" spans="1:7" ht="15.75">
      <c r="A5172" s="33"/>
      <c r="B5172" s="33"/>
      <c r="G5172" s="33"/>
    </row>
    <row r="5173" spans="1:7" ht="15.75">
      <c r="A5173" s="33"/>
      <c r="B5173" s="33"/>
      <c r="G5173" s="33"/>
    </row>
    <row r="5174" spans="1:7" ht="15.75">
      <c r="A5174" s="33"/>
      <c r="B5174" s="33"/>
      <c r="G5174" s="33"/>
    </row>
    <row r="5175" spans="1:7" ht="15.75">
      <c r="A5175" s="33"/>
      <c r="B5175" s="33"/>
      <c r="G5175" s="33"/>
    </row>
    <row r="5176" spans="1:7" ht="15.75">
      <c r="A5176" s="33"/>
      <c r="B5176" s="33"/>
      <c r="G5176" s="33"/>
    </row>
    <row r="5177" spans="1:7" ht="15.75">
      <c r="A5177" s="33"/>
      <c r="B5177" s="33"/>
      <c r="G5177" s="33"/>
    </row>
    <row r="5178" spans="1:7" ht="15.75">
      <c r="A5178" s="33"/>
      <c r="B5178" s="33"/>
      <c r="G5178" s="33"/>
    </row>
    <row r="5179" spans="1:7" ht="15.75">
      <c r="A5179" s="33"/>
      <c r="B5179" s="33"/>
      <c r="G5179" s="33"/>
    </row>
    <row r="5180" spans="1:7" ht="15.75">
      <c r="A5180" s="33"/>
      <c r="B5180" s="33"/>
      <c r="G5180" s="33"/>
    </row>
    <row r="5181" spans="1:7" ht="15.75">
      <c r="A5181" s="33"/>
      <c r="B5181" s="33"/>
      <c r="G5181" s="33"/>
    </row>
    <row r="5182" spans="1:7" ht="15.75">
      <c r="A5182" s="33"/>
      <c r="B5182" s="33"/>
      <c r="G5182" s="33"/>
    </row>
    <row r="5183" spans="1:7" ht="15.75">
      <c r="A5183" s="33"/>
      <c r="B5183" s="33"/>
      <c r="G5183" s="33"/>
    </row>
    <row r="5184" spans="1:7" ht="15.75">
      <c r="A5184" s="33"/>
      <c r="B5184" s="33"/>
      <c r="G5184" s="33"/>
    </row>
    <row r="5185" spans="1:7" ht="15.75">
      <c r="A5185" s="33"/>
      <c r="B5185" s="33"/>
      <c r="G5185" s="33"/>
    </row>
    <row r="5186" spans="1:7" ht="15.75">
      <c r="A5186" s="33"/>
      <c r="B5186" s="33"/>
      <c r="G5186" s="33"/>
    </row>
    <row r="5187" spans="1:7" ht="15.75">
      <c r="A5187" s="33"/>
      <c r="B5187" s="33"/>
      <c r="G5187" s="33"/>
    </row>
    <row r="5188" spans="1:7" ht="15.75">
      <c r="A5188" s="33"/>
      <c r="B5188" s="33"/>
      <c r="G5188" s="33"/>
    </row>
    <row r="5189" spans="1:7" ht="15.75">
      <c r="A5189" s="33"/>
      <c r="B5189" s="33"/>
      <c r="G5189" s="33"/>
    </row>
    <row r="5190" spans="1:7" ht="15.75">
      <c r="A5190" s="33"/>
      <c r="B5190" s="33"/>
      <c r="G5190" s="33"/>
    </row>
    <row r="5191" spans="1:7" ht="15.75">
      <c r="A5191" s="33"/>
      <c r="B5191" s="33"/>
      <c r="G5191" s="33"/>
    </row>
    <row r="5192" spans="1:7" ht="15.75">
      <c r="A5192" s="33"/>
      <c r="B5192" s="33"/>
      <c r="G5192" s="33"/>
    </row>
    <row r="5193" spans="1:7" ht="15.75">
      <c r="A5193" s="33"/>
      <c r="B5193" s="33"/>
      <c r="G5193" s="33"/>
    </row>
    <row r="5194" spans="1:7" ht="15.75">
      <c r="A5194" s="33"/>
      <c r="B5194" s="33"/>
      <c r="G5194" s="33"/>
    </row>
    <row r="5195" spans="1:7" ht="15.75">
      <c r="A5195" s="33"/>
      <c r="B5195" s="33"/>
      <c r="G5195" s="33"/>
    </row>
    <row r="5196" spans="1:7" ht="15.75">
      <c r="A5196" s="33"/>
      <c r="B5196" s="33"/>
      <c r="G5196" s="33"/>
    </row>
    <row r="5197" spans="1:7" ht="15.75">
      <c r="A5197" s="33"/>
      <c r="B5197" s="33"/>
      <c r="G5197" s="33"/>
    </row>
    <row r="5198" spans="1:7" ht="15.75">
      <c r="A5198" s="33"/>
      <c r="B5198" s="33"/>
      <c r="G5198" s="33"/>
    </row>
    <row r="5199" spans="1:7" ht="15.75">
      <c r="A5199" s="33"/>
      <c r="B5199" s="33"/>
      <c r="G5199" s="33"/>
    </row>
    <row r="5200" spans="1:7" ht="15.75">
      <c r="A5200" s="33"/>
      <c r="B5200" s="33"/>
      <c r="G5200" s="33"/>
    </row>
    <row r="5201" spans="1:7" ht="15.75">
      <c r="A5201" s="33"/>
      <c r="B5201" s="33"/>
      <c r="G5201" s="33"/>
    </row>
    <row r="5202" spans="1:7" ht="15.75">
      <c r="A5202" s="33"/>
      <c r="B5202" s="33"/>
      <c r="G5202" s="33"/>
    </row>
    <row r="5203" spans="1:7" ht="15.75">
      <c r="A5203" s="33"/>
      <c r="B5203" s="33"/>
      <c r="G5203" s="33"/>
    </row>
    <row r="5204" spans="1:7" ht="15.75">
      <c r="A5204" s="33"/>
      <c r="B5204" s="33"/>
      <c r="G5204" s="33"/>
    </row>
    <row r="5205" spans="1:7" ht="15.75">
      <c r="A5205" s="33"/>
      <c r="B5205" s="33"/>
      <c r="G5205" s="33"/>
    </row>
    <row r="5206" spans="1:7" ht="15.75">
      <c r="A5206" s="33"/>
      <c r="B5206" s="33"/>
      <c r="G5206" s="33"/>
    </row>
    <row r="5207" spans="1:7" ht="15.75">
      <c r="A5207" s="33"/>
      <c r="B5207" s="33"/>
      <c r="G5207" s="33"/>
    </row>
    <row r="5208" spans="1:7" ht="15.75">
      <c r="A5208" s="33"/>
      <c r="B5208" s="33"/>
      <c r="G5208" s="33"/>
    </row>
    <row r="5209" spans="1:7" ht="15.75">
      <c r="A5209" s="33"/>
      <c r="B5209" s="33"/>
      <c r="G5209" s="33"/>
    </row>
    <row r="5210" spans="1:7" ht="15.75">
      <c r="A5210" s="33"/>
      <c r="B5210" s="33"/>
      <c r="G5210" s="33"/>
    </row>
    <row r="5211" spans="1:7" ht="15.75">
      <c r="A5211" s="33"/>
      <c r="B5211" s="33"/>
      <c r="G5211" s="33"/>
    </row>
    <row r="5212" spans="1:7" ht="15.75">
      <c r="A5212" s="33"/>
      <c r="B5212" s="33"/>
      <c r="G5212" s="33"/>
    </row>
    <row r="5213" spans="1:7" ht="15.75">
      <c r="A5213" s="33"/>
      <c r="B5213" s="33"/>
      <c r="G5213" s="33"/>
    </row>
    <row r="5214" spans="1:7" ht="15.75">
      <c r="A5214" s="33"/>
      <c r="B5214" s="33"/>
      <c r="G5214" s="33"/>
    </row>
    <row r="5215" spans="1:7" ht="15.75">
      <c r="A5215" s="33"/>
      <c r="B5215" s="33"/>
      <c r="G5215" s="33"/>
    </row>
    <row r="5216" spans="1:7" ht="15.75">
      <c r="A5216" s="33"/>
      <c r="B5216" s="33"/>
      <c r="G5216" s="33"/>
    </row>
    <row r="5217" spans="1:7" ht="15.75">
      <c r="A5217" s="33"/>
      <c r="B5217" s="33"/>
      <c r="G5217" s="33"/>
    </row>
    <row r="5218" spans="1:7" ht="15.75">
      <c r="A5218" s="33"/>
      <c r="B5218" s="33"/>
      <c r="G5218" s="33"/>
    </row>
    <row r="5219" spans="1:7" ht="15.75">
      <c r="A5219" s="33"/>
      <c r="B5219" s="33"/>
      <c r="G5219" s="33"/>
    </row>
    <row r="5220" spans="1:7" ht="15.75">
      <c r="A5220" s="33"/>
      <c r="B5220" s="33"/>
      <c r="G5220" s="33"/>
    </row>
    <row r="5221" spans="1:7" ht="15.75">
      <c r="A5221" s="33"/>
      <c r="B5221" s="33"/>
      <c r="G5221" s="33"/>
    </row>
    <row r="5222" spans="1:7" ht="15.75">
      <c r="A5222" s="33"/>
      <c r="B5222" s="33"/>
      <c r="G5222" s="33"/>
    </row>
    <row r="5223" spans="1:7" ht="15.75">
      <c r="A5223" s="33"/>
      <c r="B5223" s="33"/>
      <c r="G5223" s="33"/>
    </row>
    <row r="5224" spans="1:7" ht="15.75">
      <c r="A5224" s="33"/>
      <c r="B5224" s="33"/>
      <c r="G5224" s="33"/>
    </row>
    <row r="5225" spans="1:7" ht="15.75">
      <c r="A5225" s="33"/>
      <c r="B5225" s="33"/>
      <c r="G5225" s="33"/>
    </row>
    <row r="5226" spans="1:7" ht="15.75">
      <c r="A5226" s="33"/>
      <c r="B5226" s="33"/>
      <c r="G5226" s="33"/>
    </row>
    <row r="5227" spans="1:7" ht="15.75">
      <c r="A5227" s="33"/>
      <c r="B5227" s="33"/>
      <c r="G5227" s="33"/>
    </row>
    <row r="5228" spans="1:7" ht="15.75">
      <c r="A5228" s="33"/>
      <c r="B5228" s="33"/>
      <c r="G5228" s="33"/>
    </row>
    <row r="5229" spans="1:7" ht="15.75">
      <c r="A5229" s="33"/>
      <c r="B5229" s="33"/>
      <c r="G5229" s="33"/>
    </row>
    <row r="5230" spans="1:7" ht="15.75">
      <c r="A5230" s="33"/>
      <c r="B5230" s="33"/>
      <c r="G5230" s="33"/>
    </row>
    <row r="5231" spans="1:7" ht="15.75">
      <c r="A5231" s="33"/>
      <c r="B5231" s="33"/>
      <c r="G5231" s="33"/>
    </row>
    <row r="5232" spans="1:7" ht="15.75">
      <c r="A5232" s="33"/>
      <c r="B5232" s="33"/>
      <c r="G5232" s="33"/>
    </row>
    <row r="5233" spans="1:7" ht="15.75">
      <c r="A5233" s="33"/>
      <c r="B5233" s="33"/>
      <c r="G5233" s="33"/>
    </row>
    <row r="5234" spans="1:7" ht="15.75">
      <c r="A5234" s="33"/>
      <c r="B5234" s="33"/>
      <c r="G5234" s="33"/>
    </row>
    <row r="5235" spans="1:7" ht="15.75">
      <c r="A5235" s="33"/>
      <c r="B5235" s="33"/>
      <c r="G5235" s="33"/>
    </row>
    <row r="5236" spans="1:7" ht="15.75">
      <c r="A5236" s="33"/>
      <c r="B5236" s="33"/>
      <c r="G5236" s="33"/>
    </row>
    <row r="5237" spans="1:7" ht="15.75">
      <c r="A5237" s="33"/>
      <c r="B5237" s="33"/>
      <c r="G5237" s="33"/>
    </row>
    <row r="5238" spans="1:7" ht="15.75">
      <c r="A5238" s="33"/>
      <c r="B5238" s="33"/>
      <c r="G5238" s="33"/>
    </row>
    <row r="5239" spans="1:7" ht="15.75">
      <c r="A5239" s="33"/>
      <c r="B5239" s="33"/>
      <c r="G5239" s="33"/>
    </row>
    <row r="5240" spans="1:7" ht="15.75">
      <c r="A5240" s="33"/>
      <c r="B5240" s="33"/>
      <c r="G5240" s="33"/>
    </row>
    <row r="5241" spans="1:7" ht="15.75">
      <c r="A5241" s="33"/>
      <c r="B5241" s="33"/>
      <c r="G5241" s="33"/>
    </row>
    <row r="5242" spans="1:7" ht="15.75">
      <c r="A5242" s="33"/>
      <c r="B5242" s="33"/>
      <c r="G5242" s="33"/>
    </row>
    <row r="5243" spans="1:7" ht="15.75">
      <c r="A5243" s="33"/>
      <c r="B5243" s="33"/>
      <c r="G5243" s="33"/>
    </row>
    <row r="5244" spans="1:7" ht="15.75">
      <c r="A5244" s="33"/>
      <c r="B5244" s="33"/>
      <c r="G5244" s="33"/>
    </row>
    <row r="5245" spans="1:7" ht="15.75">
      <c r="A5245" s="33"/>
      <c r="B5245" s="33"/>
      <c r="G5245" s="33"/>
    </row>
    <row r="5246" spans="1:7" ht="15.75">
      <c r="A5246" s="33"/>
      <c r="B5246" s="33"/>
      <c r="G5246" s="33"/>
    </row>
    <row r="5247" spans="1:7" ht="15.75">
      <c r="A5247" s="33"/>
      <c r="B5247" s="33"/>
      <c r="G5247" s="33"/>
    </row>
    <row r="5248" spans="1:7" ht="15.75">
      <c r="A5248" s="33"/>
      <c r="B5248" s="33"/>
      <c r="G5248" s="33"/>
    </row>
    <row r="5249" spans="1:7" ht="15.75">
      <c r="A5249" s="33"/>
      <c r="B5249" s="33"/>
      <c r="G5249" s="33"/>
    </row>
    <row r="5250" spans="1:7" ht="15.75">
      <c r="A5250" s="33"/>
      <c r="B5250" s="33"/>
      <c r="G5250" s="33"/>
    </row>
    <row r="5251" spans="1:7" ht="15.75">
      <c r="A5251" s="33"/>
      <c r="B5251" s="33"/>
      <c r="G5251" s="33"/>
    </row>
    <row r="5252" spans="1:7" ht="15.75">
      <c r="A5252" s="33"/>
      <c r="B5252" s="33"/>
      <c r="G5252" s="33"/>
    </row>
    <row r="5253" spans="1:7" ht="15.75">
      <c r="A5253" s="33"/>
      <c r="B5253" s="33"/>
      <c r="G5253" s="33"/>
    </row>
    <row r="5254" spans="1:7" ht="15.75">
      <c r="A5254" s="33"/>
      <c r="B5254" s="33"/>
      <c r="G5254" s="33"/>
    </row>
    <row r="5255" spans="1:7" ht="15.75">
      <c r="A5255" s="33"/>
      <c r="B5255" s="33"/>
      <c r="G5255" s="33"/>
    </row>
    <row r="5256" spans="1:7" ht="15.75">
      <c r="A5256" s="33"/>
      <c r="B5256" s="33"/>
      <c r="G5256" s="33"/>
    </row>
    <row r="5257" spans="1:7" ht="15.75">
      <c r="A5257" s="33"/>
      <c r="B5257" s="33"/>
      <c r="G5257" s="33"/>
    </row>
    <row r="5258" spans="1:7" ht="15.75">
      <c r="A5258" s="33"/>
      <c r="B5258" s="33"/>
      <c r="G5258" s="33"/>
    </row>
    <row r="5259" spans="1:7" ht="15.75">
      <c r="A5259" s="33"/>
      <c r="B5259" s="33"/>
      <c r="G5259" s="33"/>
    </row>
    <row r="5260" spans="1:7" ht="15.75">
      <c r="A5260" s="33"/>
      <c r="B5260" s="33"/>
      <c r="G5260" s="33"/>
    </row>
    <row r="5261" spans="1:7" ht="15.75">
      <c r="A5261" s="33"/>
      <c r="B5261" s="33"/>
      <c r="G5261" s="33"/>
    </row>
    <row r="5262" spans="1:7" ht="15.75">
      <c r="A5262" s="33"/>
      <c r="B5262" s="33"/>
      <c r="G5262" s="33"/>
    </row>
    <row r="5263" spans="1:7" ht="15.75">
      <c r="A5263" s="33"/>
      <c r="B5263" s="33"/>
      <c r="G5263" s="33"/>
    </row>
    <row r="5264" spans="1:7" ht="15.75">
      <c r="A5264" s="33"/>
      <c r="B5264" s="33"/>
      <c r="G5264" s="33"/>
    </row>
    <row r="5265" spans="1:7" ht="15.75">
      <c r="A5265" s="33"/>
      <c r="B5265" s="33"/>
      <c r="G5265" s="33"/>
    </row>
    <row r="5266" spans="1:7" ht="15.75">
      <c r="A5266" s="33"/>
      <c r="B5266" s="33"/>
      <c r="G5266" s="33"/>
    </row>
    <row r="5267" spans="1:7" ht="15.75">
      <c r="A5267" s="33"/>
      <c r="B5267" s="33"/>
      <c r="G5267" s="33"/>
    </row>
    <row r="5268" spans="1:7" ht="15.75">
      <c r="A5268" s="33"/>
      <c r="B5268" s="33"/>
      <c r="G5268" s="33"/>
    </row>
    <row r="5269" spans="1:7" ht="15.75">
      <c r="A5269" s="33"/>
      <c r="B5269" s="33"/>
      <c r="G5269" s="33"/>
    </row>
    <row r="5270" spans="1:7" ht="15.75">
      <c r="A5270" s="33"/>
      <c r="B5270" s="33"/>
      <c r="G5270" s="33"/>
    </row>
    <row r="5271" spans="1:7" ht="15.75">
      <c r="A5271" s="33"/>
      <c r="B5271" s="33"/>
      <c r="G5271" s="33"/>
    </row>
    <row r="5272" spans="1:7" ht="15.75">
      <c r="A5272" s="33"/>
      <c r="B5272" s="33"/>
      <c r="G5272" s="33"/>
    </row>
    <row r="5273" spans="1:7" ht="15.75">
      <c r="A5273" s="33"/>
      <c r="B5273" s="33"/>
      <c r="G5273" s="33"/>
    </row>
    <row r="5274" spans="1:7" ht="15.75">
      <c r="A5274" s="33"/>
      <c r="B5274" s="33"/>
      <c r="G5274" s="33"/>
    </row>
    <row r="5275" spans="1:7" ht="15.75">
      <c r="A5275" s="33"/>
      <c r="B5275" s="33"/>
      <c r="G5275" s="33"/>
    </row>
    <row r="5276" spans="1:7" ht="15.75">
      <c r="A5276" s="33"/>
      <c r="B5276" s="33"/>
      <c r="G5276" s="33"/>
    </row>
    <row r="5277" spans="1:7" ht="15.75">
      <c r="A5277" s="33"/>
      <c r="B5277" s="33"/>
      <c r="G5277" s="33"/>
    </row>
    <row r="5278" spans="1:7" ht="15.75">
      <c r="A5278" s="33"/>
      <c r="B5278" s="33"/>
      <c r="G5278" s="33"/>
    </row>
    <row r="5279" spans="1:7" ht="15.75">
      <c r="A5279" s="33"/>
      <c r="B5279" s="33"/>
      <c r="G5279" s="33"/>
    </row>
    <row r="5280" spans="1:7" ht="15.75">
      <c r="A5280" s="33"/>
      <c r="B5280" s="33"/>
      <c r="G5280" s="33"/>
    </row>
    <row r="5281" spans="1:7" ht="15.75">
      <c r="A5281" s="33"/>
      <c r="B5281" s="33"/>
      <c r="G5281" s="33"/>
    </row>
    <row r="5282" spans="1:7" ht="15.75">
      <c r="A5282" s="33"/>
      <c r="B5282" s="33"/>
      <c r="G5282" s="33"/>
    </row>
    <row r="5283" spans="1:7" ht="15.75">
      <c r="A5283" s="33"/>
      <c r="B5283" s="33"/>
      <c r="G5283" s="33"/>
    </row>
    <row r="5284" spans="1:7" ht="15.75">
      <c r="A5284" s="33"/>
      <c r="B5284" s="33"/>
      <c r="G5284" s="33"/>
    </row>
    <row r="5285" spans="1:7" ht="15.75">
      <c r="A5285" s="33"/>
      <c r="B5285" s="33"/>
      <c r="G5285" s="33"/>
    </row>
    <row r="5286" spans="1:7" ht="15.75">
      <c r="A5286" s="33"/>
      <c r="B5286" s="33"/>
      <c r="G5286" s="33"/>
    </row>
    <row r="5287" spans="1:7" ht="15.75">
      <c r="A5287" s="33"/>
      <c r="B5287" s="33"/>
      <c r="G5287" s="33"/>
    </row>
    <row r="5288" spans="1:7" ht="15.75">
      <c r="A5288" s="33"/>
      <c r="B5288" s="33"/>
      <c r="G5288" s="33"/>
    </row>
    <row r="5289" spans="1:7" ht="15.75">
      <c r="A5289" s="33"/>
      <c r="B5289" s="33"/>
      <c r="G5289" s="33"/>
    </row>
    <row r="5290" spans="1:7" ht="15.75">
      <c r="A5290" s="33"/>
      <c r="B5290" s="33"/>
      <c r="G5290" s="33"/>
    </row>
    <row r="5291" spans="1:7" ht="15.75">
      <c r="A5291" s="33"/>
      <c r="B5291" s="33"/>
      <c r="G5291" s="33"/>
    </row>
    <row r="5292" spans="1:7" ht="15.75">
      <c r="A5292" s="33"/>
      <c r="B5292" s="33"/>
      <c r="G5292" s="33"/>
    </row>
    <row r="5293" spans="1:7" ht="15.75">
      <c r="A5293" s="33"/>
      <c r="B5293" s="33"/>
      <c r="G5293" s="33"/>
    </row>
    <row r="5294" spans="1:7" ht="15.75">
      <c r="A5294" s="33"/>
      <c r="B5294" s="33"/>
      <c r="G5294" s="33"/>
    </row>
    <row r="5295" spans="1:7" ht="15.75">
      <c r="A5295" s="33"/>
      <c r="B5295" s="33"/>
      <c r="G5295" s="33"/>
    </row>
    <row r="5296" spans="1:7" ht="15.75">
      <c r="A5296" s="33"/>
      <c r="B5296" s="33"/>
      <c r="G5296" s="33"/>
    </row>
    <row r="5297" spans="1:7" ht="15.75">
      <c r="A5297" s="33"/>
      <c r="B5297" s="33"/>
      <c r="G5297" s="33"/>
    </row>
    <row r="5298" spans="1:7" ht="15.75">
      <c r="A5298" s="33"/>
      <c r="B5298" s="33"/>
      <c r="G5298" s="33"/>
    </row>
    <row r="5299" spans="1:7" ht="15.75">
      <c r="A5299" s="33"/>
      <c r="B5299" s="33"/>
      <c r="G5299" s="33"/>
    </row>
    <row r="5300" spans="1:7" ht="15.75">
      <c r="A5300" s="33"/>
      <c r="B5300" s="33"/>
      <c r="G5300" s="33"/>
    </row>
    <row r="5301" spans="1:7" ht="15.75">
      <c r="A5301" s="33"/>
      <c r="B5301" s="33"/>
      <c r="G5301" s="33"/>
    </row>
    <row r="5302" spans="1:7" ht="15.75">
      <c r="A5302" s="33"/>
      <c r="B5302" s="33"/>
      <c r="G5302" s="33"/>
    </row>
    <row r="5303" spans="1:7" ht="15.75">
      <c r="A5303" s="33"/>
      <c r="B5303" s="33"/>
      <c r="G5303" s="33"/>
    </row>
    <row r="5304" spans="1:7" ht="15.75">
      <c r="A5304" s="33"/>
      <c r="B5304" s="33"/>
      <c r="G5304" s="33"/>
    </row>
    <row r="5305" spans="1:7" ht="15.75">
      <c r="A5305" s="33"/>
      <c r="B5305" s="33"/>
      <c r="G5305" s="33"/>
    </row>
    <row r="5306" spans="1:7" ht="15.75">
      <c r="A5306" s="33"/>
      <c r="B5306" s="33"/>
      <c r="G5306" s="33"/>
    </row>
    <row r="5307" spans="1:7" ht="15.75">
      <c r="A5307" s="33"/>
      <c r="B5307" s="33"/>
      <c r="G5307" s="33"/>
    </row>
    <row r="5308" spans="1:7" ht="15.75">
      <c r="A5308" s="33"/>
      <c r="B5308" s="33"/>
      <c r="G5308" s="33"/>
    </row>
    <row r="5309" spans="1:7" ht="15.75">
      <c r="A5309" s="33"/>
      <c r="B5309" s="33"/>
      <c r="G5309" s="33"/>
    </row>
    <row r="5310" spans="1:7" ht="15.75">
      <c r="A5310" s="33"/>
      <c r="B5310" s="33"/>
      <c r="G5310" s="33"/>
    </row>
    <row r="5311" spans="1:7" ht="15.75">
      <c r="A5311" s="33"/>
      <c r="B5311" s="33"/>
      <c r="G5311" s="33"/>
    </row>
    <row r="5312" spans="1:7" ht="15.75">
      <c r="A5312" s="33"/>
      <c r="B5312" s="33"/>
      <c r="G5312" s="33"/>
    </row>
    <row r="5313" spans="1:7" ht="15.75">
      <c r="A5313" s="33"/>
      <c r="B5313" s="33"/>
      <c r="G5313" s="33"/>
    </row>
    <row r="5314" spans="1:7" ht="15.75">
      <c r="A5314" s="33"/>
      <c r="B5314" s="33"/>
      <c r="G5314" s="33"/>
    </row>
    <row r="5315" spans="1:7" ht="15.75">
      <c r="A5315" s="33"/>
      <c r="B5315" s="33"/>
      <c r="G5315" s="33"/>
    </row>
    <row r="5316" spans="1:7" ht="15.75">
      <c r="A5316" s="33"/>
      <c r="B5316" s="33"/>
      <c r="G5316" s="33"/>
    </row>
    <row r="5317" spans="1:7" ht="15.75">
      <c r="A5317" s="33"/>
      <c r="B5317" s="33"/>
      <c r="G5317" s="33"/>
    </row>
    <row r="5318" spans="1:7" ht="15.75">
      <c r="A5318" s="33"/>
      <c r="B5318" s="33"/>
      <c r="G5318" s="33"/>
    </row>
    <row r="5319" spans="1:7" ht="15.75">
      <c r="A5319" s="33"/>
      <c r="B5319" s="33"/>
      <c r="G5319" s="33"/>
    </row>
    <row r="5320" spans="1:7" ht="15.75">
      <c r="A5320" s="33"/>
      <c r="B5320" s="33"/>
      <c r="G5320" s="33"/>
    </row>
    <row r="5321" spans="1:7" ht="15.75">
      <c r="A5321" s="33"/>
      <c r="B5321" s="33"/>
      <c r="G5321" s="33"/>
    </row>
    <row r="5322" spans="1:7" ht="15.75">
      <c r="A5322" s="33"/>
      <c r="B5322" s="33"/>
      <c r="G5322" s="33"/>
    </row>
    <row r="5323" spans="1:7" ht="15.75">
      <c r="A5323" s="33"/>
      <c r="B5323" s="33"/>
      <c r="G5323" s="33"/>
    </row>
    <row r="5324" spans="1:7" ht="15.75">
      <c r="A5324" s="33"/>
      <c r="B5324" s="33"/>
      <c r="G5324" s="33"/>
    </row>
    <row r="5325" spans="1:7" ht="15.75">
      <c r="A5325" s="33"/>
      <c r="B5325" s="33"/>
      <c r="G5325" s="33"/>
    </row>
    <row r="5326" spans="1:7" ht="15.75">
      <c r="A5326" s="33"/>
      <c r="B5326" s="33"/>
      <c r="G5326" s="33"/>
    </row>
    <row r="5327" spans="1:7" ht="15.75">
      <c r="A5327" s="33"/>
      <c r="B5327" s="33"/>
      <c r="G5327" s="33"/>
    </row>
    <row r="5328" spans="1:7" ht="15.75">
      <c r="A5328" s="33"/>
      <c r="B5328" s="33"/>
      <c r="G5328" s="33"/>
    </row>
    <row r="5329" spans="1:7" ht="15.75">
      <c r="A5329" s="33"/>
      <c r="B5329" s="33"/>
      <c r="G5329" s="33"/>
    </row>
    <row r="5330" spans="1:7" ht="15.75">
      <c r="A5330" s="33"/>
      <c r="B5330" s="33"/>
      <c r="G5330" s="33"/>
    </row>
    <row r="5331" spans="1:7" ht="15.75">
      <c r="A5331" s="33"/>
      <c r="B5331" s="33"/>
      <c r="G5331" s="33"/>
    </row>
    <row r="5332" spans="1:7" ht="15.75">
      <c r="A5332" s="33"/>
      <c r="B5332" s="33"/>
      <c r="G5332" s="33"/>
    </row>
    <row r="5333" spans="1:7" ht="15.75">
      <c r="A5333" s="33"/>
      <c r="B5333" s="33"/>
      <c r="G5333" s="33"/>
    </row>
    <row r="5334" spans="1:7" ht="15.75">
      <c r="A5334" s="33"/>
      <c r="B5334" s="33"/>
      <c r="G5334" s="33"/>
    </row>
    <row r="5335" spans="1:7" ht="15.75">
      <c r="A5335" s="33"/>
      <c r="B5335" s="33"/>
      <c r="G5335" s="33"/>
    </row>
    <row r="5336" spans="1:7" ht="15.75">
      <c r="A5336" s="33"/>
      <c r="B5336" s="33"/>
      <c r="G5336" s="33"/>
    </row>
    <row r="5337" spans="1:7" ht="15.75">
      <c r="A5337" s="33"/>
      <c r="B5337" s="33"/>
      <c r="G5337" s="33"/>
    </row>
    <row r="5338" spans="1:7" ht="15.75">
      <c r="A5338" s="33"/>
      <c r="B5338" s="33"/>
      <c r="G5338" s="33"/>
    </row>
    <row r="5339" spans="1:7" ht="15.75">
      <c r="A5339" s="33"/>
      <c r="B5339" s="33"/>
      <c r="G5339" s="33"/>
    </row>
    <row r="5340" spans="1:7" ht="15.75">
      <c r="A5340" s="33"/>
      <c r="B5340" s="33"/>
      <c r="G5340" s="33"/>
    </row>
    <row r="5341" spans="1:7" ht="15.75">
      <c r="A5341" s="33"/>
      <c r="B5341" s="33"/>
      <c r="G5341" s="33"/>
    </row>
    <row r="5342" spans="1:7" ht="15.75">
      <c r="A5342" s="33"/>
      <c r="B5342" s="33"/>
      <c r="G5342" s="33"/>
    </row>
    <row r="5343" spans="1:7" ht="15.75">
      <c r="A5343" s="33"/>
      <c r="B5343" s="33"/>
      <c r="G5343" s="33"/>
    </row>
    <row r="5344" spans="1:7" ht="15.75">
      <c r="A5344" s="33"/>
      <c r="B5344" s="33"/>
      <c r="G5344" s="33"/>
    </row>
    <row r="5345" spans="1:7" ht="15.75">
      <c r="A5345" s="33"/>
      <c r="B5345" s="33"/>
      <c r="G5345" s="33"/>
    </row>
    <row r="5346" spans="1:7" ht="15.75">
      <c r="A5346" s="33"/>
      <c r="B5346" s="33"/>
      <c r="G5346" s="33"/>
    </row>
    <row r="5347" spans="1:7" ht="15.75">
      <c r="A5347" s="33"/>
      <c r="B5347" s="33"/>
      <c r="G5347" s="33"/>
    </row>
    <row r="5348" spans="1:7" ht="15.75">
      <c r="A5348" s="33"/>
      <c r="B5348" s="33"/>
      <c r="G5348" s="33"/>
    </row>
    <row r="5349" spans="1:7" ht="15.75">
      <c r="A5349" s="33"/>
      <c r="B5349" s="33"/>
      <c r="G5349" s="33"/>
    </row>
    <row r="5350" spans="1:7" ht="15.75">
      <c r="A5350" s="33"/>
      <c r="B5350" s="33"/>
      <c r="G5350" s="33"/>
    </row>
    <row r="5351" spans="1:7" ht="15.75">
      <c r="A5351" s="33"/>
      <c r="B5351" s="33"/>
      <c r="G5351" s="33"/>
    </row>
    <row r="5352" spans="1:7" ht="15.75">
      <c r="A5352" s="33"/>
      <c r="B5352" s="33"/>
      <c r="G5352" s="33"/>
    </row>
    <row r="5353" spans="1:7" ht="15.75">
      <c r="A5353" s="33"/>
      <c r="B5353" s="33"/>
      <c r="G5353" s="33"/>
    </row>
    <row r="5354" spans="1:7" ht="15.75">
      <c r="A5354" s="33"/>
      <c r="B5354" s="33"/>
      <c r="G5354" s="33"/>
    </row>
    <row r="5355" spans="1:7" ht="15.75">
      <c r="A5355" s="33"/>
      <c r="B5355" s="33"/>
      <c r="G5355" s="33"/>
    </row>
    <row r="5356" spans="1:7" ht="15.75">
      <c r="A5356" s="33"/>
      <c r="B5356" s="33"/>
      <c r="G5356" s="33"/>
    </row>
    <row r="5357" spans="1:7" ht="15.75">
      <c r="A5357" s="33"/>
      <c r="B5357" s="33"/>
      <c r="G5357" s="33"/>
    </row>
    <row r="5358" spans="1:7" ht="15.75">
      <c r="A5358" s="33"/>
      <c r="B5358" s="33"/>
      <c r="G5358" s="33"/>
    </row>
    <row r="5359" spans="1:7" ht="15.75">
      <c r="A5359" s="33"/>
      <c r="B5359" s="33"/>
      <c r="G5359" s="33"/>
    </row>
    <row r="5360" spans="1:7" ht="15.75">
      <c r="A5360" s="33"/>
      <c r="B5360" s="33"/>
      <c r="G5360" s="33"/>
    </row>
    <row r="5361" spans="1:7" ht="15.75">
      <c r="A5361" s="33"/>
      <c r="B5361" s="33"/>
      <c r="G5361" s="33"/>
    </row>
    <row r="5362" spans="1:7" ht="15.75">
      <c r="A5362" s="33"/>
      <c r="B5362" s="33"/>
      <c r="G5362" s="33"/>
    </row>
    <row r="5363" spans="1:7" ht="15.75">
      <c r="A5363" s="33"/>
      <c r="B5363" s="33"/>
      <c r="G5363" s="33"/>
    </row>
    <row r="5364" spans="1:7" ht="15.75">
      <c r="A5364" s="33"/>
      <c r="B5364" s="33"/>
      <c r="G5364" s="33"/>
    </row>
    <row r="5365" spans="1:7" ht="15.75">
      <c r="A5365" s="33"/>
      <c r="B5365" s="33"/>
      <c r="G5365" s="33"/>
    </row>
    <row r="5366" spans="1:7" ht="15.75">
      <c r="A5366" s="33"/>
      <c r="B5366" s="33"/>
      <c r="G5366" s="33"/>
    </row>
    <row r="5367" spans="1:7" ht="15.75">
      <c r="A5367" s="33"/>
      <c r="B5367" s="33"/>
      <c r="G5367" s="33"/>
    </row>
    <row r="5368" spans="1:7" ht="15.75">
      <c r="A5368" s="33"/>
      <c r="B5368" s="33"/>
      <c r="G5368" s="33"/>
    </row>
    <row r="5369" spans="1:7" ht="15.75">
      <c r="A5369" s="33"/>
      <c r="B5369" s="33"/>
      <c r="G5369" s="33"/>
    </row>
    <row r="5370" spans="1:7" ht="15.75">
      <c r="A5370" s="33"/>
      <c r="B5370" s="33"/>
      <c r="G5370" s="33"/>
    </row>
    <row r="5371" spans="1:7" ht="15.75">
      <c r="A5371" s="33"/>
      <c r="B5371" s="33"/>
      <c r="G5371" s="33"/>
    </row>
    <row r="5372" spans="1:7" ht="15.75">
      <c r="A5372" s="33"/>
      <c r="B5372" s="33"/>
      <c r="G5372" s="33"/>
    </row>
    <row r="5373" spans="1:7" ht="15.75">
      <c r="A5373" s="33"/>
      <c r="B5373" s="33"/>
      <c r="G5373" s="33"/>
    </row>
    <row r="5374" spans="1:7" ht="15.75">
      <c r="A5374" s="33"/>
      <c r="B5374" s="33"/>
      <c r="G5374" s="33"/>
    </row>
    <row r="5375" spans="1:7" ht="15.75">
      <c r="A5375" s="33"/>
      <c r="B5375" s="33"/>
      <c r="G5375" s="33"/>
    </row>
    <row r="5376" spans="1:7" ht="15.75">
      <c r="A5376" s="33"/>
      <c r="B5376" s="33"/>
      <c r="G5376" s="33"/>
    </row>
    <row r="5377" spans="1:7" ht="15.75">
      <c r="A5377" s="33"/>
      <c r="B5377" s="33"/>
      <c r="G5377" s="33"/>
    </row>
    <row r="5378" spans="1:7" ht="15.75">
      <c r="A5378" s="33"/>
      <c r="B5378" s="33"/>
      <c r="G5378" s="33"/>
    </row>
    <row r="5379" spans="1:7" ht="15.75">
      <c r="A5379" s="33"/>
      <c r="B5379" s="33"/>
      <c r="G5379" s="33"/>
    </row>
    <row r="5380" spans="1:7" ht="15.75">
      <c r="A5380" s="33"/>
      <c r="B5380" s="33"/>
      <c r="G5380" s="33"/>
    </row>
    <row r="5381" spans="1:7" ht="15.75">
      <c r="A5381" s="33"/>
      <c r="B5381" s="33"/>
      <c r="G5381" s="33"/>
    </row>
    <row r="5382" spans="1:7" ht="15.75">
      <c r="A5382" s="33"/>
      <c r="B5382" s="33"/>
      <c r="G5382" s="33"/>
    </row>
    <row r="5383" spans="1:7" ht="15.75">
      <c r="A5383" s="33"/>
      <c r="B5383" s="33"/>
      <c r="G5383" s="33"/>
    </row>
    <row r="5384" spans="1:7" ht="15.75">
      <c r="A5384" s="33"/>
      <c r="B5384" s="33"/>
      <c r="G5384" s="33"/>
    </row>
    <row r="5385" spans="1:7" ht="15.75">
      <c r="A5385" s="33"/>
      <c r="B5385" s="33"/>
      <c r="G5385" s="33"/>
    </row>
    <row r="5386" spans="1:7" ht="15.75">
      <c r="A5386" s="33"/>
      <c r="B5386" s="33"/>
      <c r="G5386" s="33"/>
    </row>
    <row r="5387" spans="1:7" ht="15.75">
      <c r="A5387" s="33"/>
      <c r="B5387" s="33"/>
      <c r="G5387" s="33"/>
    </row>
    <row r="5388" spans="1:7" ht="15.75">
      <c r="A5388" s="33"/>
      <c r="B5388" s="33"/>
      <c r="G5388" s="33"/>
    </row>
    <row r="5389" spans="1:7" ht="15.75">
      <c r="A5389" s="33"/>
      <c r="B5389" s="33"/>
      <c r="G5389" s="33"/>
    </row>
    <row r="5390" spans="1:7" ht="15.75">
      <c r="A5390" s="33"/>
      <c r="B5390" s="33"/>
      <c r="G5390" s="33"/>
    </row>
    <row r="5391" spans="1:7" ht="15.75">
      <c r="A5391" s="33"/>
      <c r="B5391" s="33"/>
      <c r="G5391" s="33"/>
    </row>
    <row r="5392" spans="1:7" ht="15.75">
      <c r="A5392" s="33"/>
      <c r="B5392" s="33"/>
      <c r="G5392" s="33"/>
    </row>
    <row r="5393" spans="1:7" ht="15.75">
      <c r="A5393" s="33"/>
      <c r="B5393" s="33"/>
      <c r="G5393" s="33"/>
    </row>
    <row r="5394" spans="1:7" ht="15.75">
      <c r="A5394" s="33"/>
      <c r="B5394" s="33"/>
      <c r="G5394" s="33"/>
    </row>
    <row r="5395" spans="1:7" ht="15.75">
      <c r="A5395" s="33"/>
      <c r="B5395" s="33"/>
      <c r="G5395" s="33"/>
    </row>
    <row r="5396" spans="1:7" ht="15.75">
      <c r="A5396" s="33"/>
      <c r="B5396" s="33"/>
      <c r="G5396" s="33"/>
    </row>
    <row r="5397" spans="1:7" ht="15.75">
      <c r="A5397" s="33"/>
      <c r="B5397" s="33"/>
      <c r="G5397" s="33"/>
    </row>
    <row r="5398" spans="1:7" ht="15.75">
      <c r="A5398" s="33"/>
      <c r="B5398" s="33"/>
      <c r="G5398" s="33"/>
    </row>
    <row r="5399" spans="1:7" ht="15.75">
      <c r="A5399" s="33"/>
      <c r="B5399" s="33"/>
      <c r="G5399" s="33"/>
    </row>
    <row r="5400" spans="1:7" ht="15.75">
      <c r="A5400" s="33"/>
      <c r="B5400" s="33"/>
      <c r="G5400" s="33"/>
    </row>
    <row r="5401" spans="1:7" ht="15.75">
      <c r="A5401" s="33"/>
      <c r="B5401" s="33"/>
      <c r="G5401" s="33"/>
    </row>
    <row r="5402" spans="1:7" ht="15.75">
      <c r="A5402" s="33"/>
      <c r="B5402" s="33"/>
      <c r="G5402" s="33"/>
    </row>
    <row r="5403" spans="1:7" ht="15.75">
      <c r="A5403" s="33"/>
      <c r="B5403" s="33"/>
      <c r="G5403" s="33"/>
    </row>
    <row r="5404" spans="1:7" ht="15.75">
      <c r="A5404" s="33"/>
      <c r="B5404" s="33"/>
      <c r="G5404" s="33"/>
    </row>
    <row r="5405" spans="1:7" ht="15.75">
      <c r="A5405" s="33"/>
      <c r="B5405" s="33"/>
      <c r="G5405" s="33"/>
    </row>
    <row r="5406" spans="1:7" ht="15.75">
      <c r="A5406" s="33"/>
      <c r="B5406" s="33"/>
      <c r="G5406" s="33"/>
    </row>
    <row r="5407" spans="1:7" ht="15.75">
      <c r="A5407" s="33"/>
      <c r="B5407" s="33"/>
      <c r="G5407" s="33"/>
    </row>
    <row r="5408" spans="1:7" ht="15.75">
      <c r="A5408" s="33"/>
      <c r="B5408" s="33"/>
      <c r="G5408" s="33"/>
    </row>
    <row r="5409" spans="1:7" ht="15.75">
      <c r="A5409" s="33"/>
      <c r="B5409" s="33"/>
      <c r="G5409" s="33"/>
    </row>
    <row r="5410" spans="1:7" ht="15.75">
      <c r="A5410" s="33"/>
      <c r="B5410" s="33"/>
      <c r="G5410" s="33"/>
    </row>
    <row r="5411" spans="1:7" ht="15.75">
      <c r="A5411" s="33"/>
      <c r="B5411" s="33"/>
      <c r="G5411" s="33"/>
    </row>
    <row r="5412" spans="1:7" ht="15.75">
      <c r="A5412" s="33"/>
      <c r="B5412" s="33"/>
      <c r="G5412" s="33"/>
    </row>
    <row r="5413" spans="1:7" ht="15.75">
      <c r="A5413" s="33"/>
      <c r="B5413" s="33"/>
      <c r="G5413" s="33"/>
    </row>
    <row r="5414" spans="1:7" ht="15.75">
      <c r="A5414" s="33"/>
      <c r="B5414" s="33"/>
      <c r="G5414" s="33"/>
    </row>
    <row r="5415" spans="1:7" ht="15.75">
      <c r="A5415" s="33"/>
      <c r="B5415" s="33"/>
      <c r="G5415" s="33"/>
    </row>
    <row r="5416" spans="1:7" ht="15.75">
      <c r="A5416" s="33"/>
      <c r="B5416" s="33"/>
      <c r="G5416" s="33"/>
    </row>
    <row r="5417" spans="1:7" ht="15.75">
      <c r="A5417" s="33"/>
      <c r="B5417" s="33"/>
      <c r="G5417" s="33"/>
    </row>
    <row r="5418" spans="1:7" ht="15.75">
      <c r="A5418" s="33"/>
      <c r="B5418" s="33"/>
      <c r="G5418" s="33"/>
    </row>
    <row r="5419" spans="1:7" ht="15.75">
      <c r="A5419" s="33"/>
      <c r="B5419" s="33"/>
      <c r="G5419" s="33"/>
    </row>
    <row r="5420" spans="1:7" ht="15.75">
      <c r="A5420" s="33"/>
      <c r="B5420" s="33"/>
      <c r="G5420" s="33"/>
    </row>
    <row r="5421" spans="1:7" ht="15.75">
      <c r="A5421" s="33"/>
      <c r="B5421" s="33"/>
      <c r="G5421" s="33"/>
    </row>
    <row r="5422" spans="1:7" ht="15.75">
      <c r="A5422" s="33"/>
      <c r="B5422" s="33"/>
      <c r="G5422" s="33"/>
    </row>
    <row r="5423" spans="1:7" ht="15.75">
      <c r="A5423" s="33"/>
      <c r="B5423" s="33"/>
      <c r="G5423" s="33"/>
    </row>
    <row r="5424" spans="1:7" ht="15.75">
      <c r="A5424" s="33"/>
      <c r="B5424" s="33"/>
      <c r="G5424" s="33"/>
    </row>
    <row r="5425" spans="1:7" ht="15.75">
      <c r="A5425" s="33"/>
      <c r="B5425" s="33"/>
      <c r="G5425" s="33"/>
    </row>
    <row r="5426" spans="1:7" ht="15.75">
      <c r="A5426" s="33"/>
      <c r="B5426" s="33"/>
      <c r="G5426" s="33"/>
    </row>
    <row r="5427" spans="1:7" ht="15.75">
      <c r="A5427" s="33"/>
      <c r="B5427" s="33"/>
      <c r="G5427" s="33"/>
    </row>
    <row r="5428" spans="1:7" ht="15.75">
      <c r="A5428" s="33"/>
      <c r="B5428" s="33"/>
      <c r="G5428" s="33"/>
    </row>
    <row r="5429" spans="1:7" ht="15.75">
      <c r="A5429" s="33"/>
      <c r="B5429" s="33"/>
      <c r="G5429" s="33"/>
    </row>
    <row r="5430" spans="1:7" ht="15.75">
      <c r="A5430" s="33"/>
      <c r="B5430" s="33"/>
      <c r="G5430" s="33"/>
    </row>
    <row r="5431" spans="1:7" ht="15.75">
      <c r="A5431" s="33"/>
      <c r="B5431" s="33"/>
      <c r="G5431" s="33"/>
    </row>
    <row r="5432" spans="1:7" ht="15.75">
      <c r="A5432" s="33"/>
      <c r="B5432" s="33"/>
      <c r="G5432" s="33"/>
    </row>
    <row r="5433" spans="1:7" ht="15.75">
      <c r="A5433" s="33"/>
      <c r="B5433" s="33"/>
      <c r="G5433" s="33"/>
    </row>
    <row r="5434" spans="1:7" ht="15.75">
      <c r="A5434" s="33"/>
      <c r="B5434" s="33"/>
      <c r="G5434" s="33"/>
    </row>
    <row r="5435" spans="1:7" ht="15.75">
      <c r="A5435" s="33"/>
      <c r="B5435" s="33"/>
      <c r="G5435" s="33"/>
    </row>
    <row r="5436" spans="1:7" ht="15.75">
      <c r="A5436" s="33"/>
      <c r="B5436" s="33"/>
      <c r="G5436" s="33"/>
    </row>
    <row r="5437" spans="1:7" ht="15.75">
      <c r="A5437" s="33"/>
      <c r="B5437" s="33"/>
      <c r="G5437" s="33"/>
    </row>
    <row r="5438" spans="1:7" ht="15.75">
      <c r="A5438" s="33"/>
      <c r="B5438" s="33"/>
      <c r="G5438" s="33"/>
    </row>
    <row r="5439" spans="1:7" ht="15.75">
      <c r="A5439" s="33"/>
      <c r="B5439" s="33"/>
      <c r="G5439" s="33"/>
    </row>
    <row r="5440" spans="1:7" ht="15.75">
      <c r="A5440" s="33"/>
      <c r="B5440" s="33"/>
      <c r="G5440" s="33"/>
    </row>
    <row r="5441" spans="1:7" ht="15.75">
      <c r="A5441" s="33"/>
      <c r="B5441" s="33"/>
      <c r="G5441" s="33"/>
    </row>
    <row r="5442" spans="1:7" ht="15.75">
      <c r="A5442" s="33"/>
      <c r="B5442" s="33"/>
      <c r="G5442" s="33"/>
    </row>
    <row r="5443" spans="1:7" ht="15.75">
      <c r="A5443" s="33"/>
      <c r="B5443" s="33"/>
      <c r="G5443" s="33"/>
    </row>
    <row r="5444" spans="1:7" ht="15.75">
      <c r="A5444" s="33"/>
      <c r="B5444" s="33"/>
      <c r="G5444" s="33"/>
    </row>
    <row r="5445" spans="1:7" ht="15.75">
      <c r="A5445" s="33"/>
      <c r="B5445" s="33"/>
      <c r="G5445" s="33"/>
    </row>
    <row r="5446" spans="1:7" ht="15.75">
      <c r="A5446" s="33"/>
      <c r="B5446" s="33"/>
      <c r="G5446" s="33"/>
    </row>
    <row r="5447" spans="1:7" ht="15.75">
      <c r="A5447" s="33"/>
      <c r="B5447" s="33"/>
      <c r="G5447" s="33"/>
    </row>
    <row r="5448" spans="1:7" ht="15.75">
      <c r="A5448" s="33"/>
      <c r="B5448" s="33"/>
      <c r="G5448" s="33"/>
    </row>
    <row r="5449" spans="1:7" ht="15.75">
      <c r="A5449" s="33"/>
      <c r="B5449" s="33"/>
      <c r="G5449" s="33"/>
    </row>
    <row r="5450" spans="1:7" ht="15.75">
      <c r="A5450" s="33"/>
      <c r="B5450" s="33"/>
      <c r="G5450" s="33"/>
    </row>
    <row r="5451" spans="1:7" ht="15.75">
      <c r="A5451" s="33"/>
      <c r="B5451" s="33"/>
      <c r="G5451" s="33"/>
    </row>
    <row r="5452" spans="1:7" ht="15.75">
      <c r="A5452" s="33"/>
      <c r="B5452" s="33"/>
      <c r="G5452" s="33"/>
    </row>
    <row r="5453" spans="1:7" ht="15.75">
      <c r="A5453" s="33"/>
      <c r="B5453" s="33"/>
      <c r="G5453" s="33"/>
    </row>
    <row r="5454" spans="1:7" ht="15.75">
      <c r="A5454" s="33"/>
      <c r="B5454" s="33"/>
      <c r="G5454" s="33"/>
    </row>
    <row r="5455" spans="1:7" ht="15.75">
      <c r="A5455" s="33"/>
      <c r="B5455" s="33"/>
      <c r="G5455" s="33"/>
    </row>
    <row r="5456" spans="1:7" ht="15.75">
      <c r="A5456" s="33"/>
      <c r="B5456" s="33"/>
      <c r="G5456" s="33"/>
    </row>
    <row r="5457" spans="1:7" ht="15.75">
      <c r="A5457" s="33"/>
      <c r="B5457" s="33"/>
      <c r="G5457" s="33"/>
    </row>
    <row r="5458" spans="1:7" ht="15.75">
      <c r="A5458" s="33"/>
      <c r="B5458" s="33"/>
      <c r="G5458" s="33"/>
    </row>
    <row r="5459" spans="1:7" ht="15.75">
      <c r="A5459" s="33"/>
      <c r="B5459" s="33"/>
      <c r="G5459" s="33"/>
    </row>
    <row r="5460" spans="1:7" ht="15.75">
      <c r="A5460" s="33"/>
      <c r="B5460" s="33"/>
      <c r="G5460" s="33"/>
    </row>
    <row r="5461" spans="1:7" ht="15.75">
      <c r="A5461" s="33"/>
      <c r="B5461" s="33"/>
      <c r="G5461" s="33"/>
    </row>
    <row r="5462" spans="1:7" ht="15.75">
      <c r="A5462" s="33"/>
      <c r="B5462" s="33"/>
      <c r="G5462" s="33"/>
    </row>
    <row r="5463" spans="1:7" ht="15.75">
      <c r="A5463" s="33"/>
      <c r="B5463" s="33"/>
      <c r="G5463" s="33"/>
    </row>
    <row r="5464" spans="1:7" ht="15.75">
      <c r="A5464" s="33"/>
      <c r="B5464" s="33"/>
      <c r="G5464" s="33"/>
    </row>
    <row r="5465" spans="1:7" ht="15.75">
      <c r="A5465" s="33"/>
      <c r="B5465" s="33"/>
      <c r="G5465" s="33"/>
    </row>
    <row r="5466" spans="1:7" ht="15.75">
      <c r="A5466" s="33"/>
      <c r="B5466" s="33"/>
      <c r="G5466" s="33"/>
    </row>
    <row r="5467" spans="1:7" ht="15.75">
      <c r="A5467" s="33"/>
      <c r="B5467" s="33"/>
      <c r="G5467" s="33"/>
    </row>
    <row r="5468" spans="1:7" ht="15.75">
      <c r="A5468" s="33"/>
      <c r="B5468" s="33"/>
      <c r="G5468" s="33"/>
    </row>
    <row r="5469" spans="1:7" ht="15.75">
      <c r="A5469" s="33"/>
      <c r="B5469" s="33"/>
      <c r="G5469" s="33"/>
    </row>
    <row r="5470" spans="1:7" ht="15.75">
      <c r="A5470" s="33"/>
      <c r="B5470" s="33"/>
      <c r="G5470" s="33"/>
    </row>
    <row r="5471" spans="1:7" ht="15.75">
      <c r="A5471" s="33"/>
      <c r="B5471" s="33"/>
      <c r="G5471" s="33"/>
    </row>
    <row r="5472" spans="1:7" ht="15.75">
      <c r="A5472" s="33"/>
      <c r="B5472" s="33"/>
      <c r="G5472" s="33"/>
    </row>
    <row r="5473" spans="1:7" ht="15.75">
      <c r="A5473" s="33"/>
      <c r="B5473" s="33"/>
      <c r="G5473" s="33"/>
    </row>
    <row r="5474" spans="1:7" ht="15.75">
      <c r="A5474" s="33"/>
      <c r="B5474" s="33"/>
      <c r="G5474" s="33"/>
    </row>
    <row r="5475" spans="1:7" ht="15.75">
      <c r="A5475" s="33"/>
      <c r="B5475" s="33"/>
      <c r="G5475" s="33"/>
    </row>
    <row r="5476" spans="1:7" ht="15.75">
      <c r="A5476" s="33"/>
      <c r="B5476" s="33"/>
      <c r="G5476" s="33"/>
    </row>
    <row r="5477" spans="1:7" ht="15.75">
      <c r="A5477" s="33"/>
      <c r="B5477" s="33"/>
      <c r="G5477" s="33"/>
    </row>
    <row r="5478" spans="1:7" ht="15.75">
      <c r="A5478" s="33"/>
      <c r="B5478" s="33"/>
      <c r="G5478" s="33"/>
    </row>
    <row r="5479" spans="1:7" ht="15.75">
      <c r="A5479" s="33"/>
      <c r="B5479" s="33"/>
      <c r="G5479" s="33"/>
    </row>
    <row r="5480" spans="1:7" ht="15.75">
      <c r="A5480" s="33"/>
      <c r="B5480" s="33"/>
      <c r="G5480" s="33"/>
    </row>
    <row r="5481" spans="1:7" ht="15.75">
      <c r="A5481" s="33"/>
      <c r="B5481" s="33"/>
      <c r="G5481" s="33"/>
    </row>
    <row r="5482" spans="1:7" ht="15.75">
      <c r="A5482" s="33"/>
      <c r="B5482" s="33"/>
      <c r="G5482" s="33"/>
    </row>
    <row r="5483" spans="1:7" ht="15.75">
      <c r="A5483" s="33"/>
      <c r="B5483" s="33"/>
      <c r="G5483" s="33"/>
    </row>
    <row r="5484" spans="1:7" ht="15.75">
      <c r="A5484" s="33"/>
      <c r="B5484" s="33"/>
      <c r="G5484" s="33"/>
    </row>
    <row r="5485" spans="1:7" ht="15.75">
      <c r="A5485" s="33"/>
      <c r="B5485" s="33"/>
      <c r="G5485" s="33"/>
    </row>
    <row r="5486" spans="1:7" ht="15.75">
      <c r="A5486" s="33"/>
      <c r="B5486" s="33"/>
      <c r="G5486" s="33"/>
    </row>
    <row r="5487" spans="1:7" ht="15.75">
      <c r="A5487" s="33"/>
      <c r="B5487" s="33"/>
      <c r="G5487" s="33"/>
    </row>
    <row r="5488" spans="1:7" ht="15.75">
      <c r="A5488" s="33"/>
      <c r="B5488" s="33"/>
      <c r="G5488" s="33"/>
    </row>
    <row r="5489" spans="1:7" ht="15.75">
      <c r="A5489" s="33"/>
      <c r="B5489" s="33"/>
      <c r="G5489" s="33"/>
    </row>
    <row r="5490" spans="1:7" ht="15.75">
      <c r="A5490" s="33"/>
      <c r="B5490" s="33"/>
      <c r="G5490" s="33"/>
    </row>
    <row r="5491" spans="1:7" ht="15.75">
      <c r="A5491" s="33"/>
      <c r="B5491" s="33"/>
      <c r="G5491" s="33"/>
    </row>
    <row r="5492" spans="1:7" ht="15.75">
      <c r="A5492" s="33"/>
      <c r="B5492" s="33"/>
      <c r="G5492" s="33"/>
    </row>
    <row r="5493" spans="1:7" ht="15.75">
      <c r="A5493" s="33"/>
      <c r="B5493" s="33"/>
      <c r="G5493" s="33"/>
    </row>
    <row r="5494" spans="1:7" ht="15.75">
      <c r="A5494" s="33"/>
      <c r="B5494" s="33"/>
      <c r="G5494" s="33"/>
    </row>
    <row r="5495" spans="1:7" ht="15.75">
      <c r="A5495" s="33"/>
      <c r="B5495" s="33"/>
      <c r="G5495" s="33"/>
    </row>
    <row r="5496" spans="1:7" ht="15.75">
      <c r="A5496" s="33"/>
      <c r="B5496" s="33"/>
      <c r="G5496" s="33"/>
    </row>
    <row r="5497" spans="1:7" ht="15.75">
      <c r="A5497" s="33"/>
      <c r="B5497" s="33"/>
      <c r="G5497" s="33"/>
    </row>
    <row r="5498" spans="1:7" ht="15.75">
      <c r="A5498" s="33"/>
      <c r="B5498" s="33"/>
      <c r="G5498" s="33"/>
    </row>
    <row r="5499" spans="1:7" ht="15.75">
      <c r="A5499" s="33"/>
      <c r="B5499" s="33"/>
      <c r="G5499" s="33"/>
    </row>
    <row r="5500" spans="1:7" ht="15.75">
      <c r="A5500" s="33"/>
      <c r="B5500" s="33"/>
      <c r="G5500" s="33"/>
    </row>
    <row r="5501" spans="1:7" ht="15.75">
      <c r="A5501" s="33"/>
      <c r="B5501" s="33"/>
      <c r="G5501" s="33"/>
    </row>
    <row r="5502" spans="1:7" ht="15.75">
      <c r="A5502" s="33"/>
      <c r="B5502" s="33"/>
      <c r="G5502" s="33"/>
    </row>
    <row r="5503" spans="1:7" ht="15.75">
      <c r="A5503" s="33"/>
      <c r="B5503" s="33"/>
      <c r="G5503" s="33"/>
    </row>
    <row r="5504" spans="1:7" ht="15.75">
      <c r="A5504" s="33"/>
      <c r="B5504" s="33"/>
      <c r="G5504" s="33"/>
    </row>
    <row r="5505" spans="1:7" ht="15.75">
      <c r="A5505" s="33"/>
      <c r="B5505" s="33"/>
      <c r="G5505" s="33"/>
    </row>
    <row r="5506" spans="1:7" ht="15.75">
      <c r="A5506" s="33"/>
      <c r="B5506" s="33"/>
      <c r="G5506" s="33"/>
    </row>
    <row r="5507" spans="1:7" ht="15.75">
      <c r="A5507" s="33"/>
      <c r="B5507" s="33"/>
      <c r="G5507" s="33"/>
    </row>
    <row r="5508" spans="1:7" ht="15.75">
      <c r="A5508" s="33"/>
      <c r="B5508" s="33"/>
      <c r="G5508" s="33"/>
    </row>
    <row r="5509" spans="1:7" ht="15.75">
      <c r="A5509" s="33"/>
      <c r="B5509" s="33"/>
      <c r="G5509" s="33"/>
    </row>
    <row r="5510" spans="1:7" ht="15.75">
      <c r="A5510" s="33"/>
      <c r="B5510" s="33"/>
      <c r="G5510" s="33"/>
    </row>
    <row r="5511" spans="1:7" ht="15.75">
      <c r="A5511" s="33"/>
      <c r="B5511" s="33"/>
      <c r="G5511" s="33"/>
    </row>
    <row r="5512" spans="1:7" ht="15.75">
      <c r="A5512" s="33"/>
      <c r="B5512" s="33"/>
      <c r="G5512" s="33"/>
    </row>
    <row r="5513" spans="1:7" ht="15.75">
      <c r="A5513" s="33"/>
      <c r="B5513" s="33"/>
      <c r="G5513" s="33"/>
    </row>
    <row r="5514" spans="1:7" ht="15.75">
      <c r="A5514" s="33"/>
      <c r="B5514" s="33"/>
      <c r="G5514" s="33"/>
    </row>
    <row r="5515" spans="1:7" ht="15.75">
      <c r="A5515" s="33"/>
      <c r="B5515" s="33"/>
      <c r="G5515" s="33"/>
    </row>
    <row r="5516" spans="1:7" ht="15.75">
      <c r="A5516" s="33"/>
      <c r="B5516" s="33"/>
      <c r="G5516" s="33"/>
    </row>
    <row r="5517" spans="1:7" ht="15.75">
      <c r="A5517" s="33"/>
      <c r="B5517" s="33"/>
      <c r="G5517" s="33"/>
    </row>
    <row r="5518" spans="1:7" ht="15.75">
      <c r="A5518" s="33"/>
      <c r="B5518" s="33"/>
      <c r="G5518" s="33"/>
    </row>
    <row r="5519" spans="1:7" ht="15.75">
      <c r="A5519" s="33"/>
      <c r="B5519" s="33"/>
      <c r="G5519" s="33"/>
    </row>
    <row r="5520" spans="1:7" ht="15.75">
      <c r="A5520" s="33"/>
      <c r="B5520" s="33"/>
      <c r="G5520" s="33"/>
    </row>
    <row r="5521" spans="1:7" ht="15.75">
      <c r="A5521" s="33"/>
      <c r="B5521" s="33"/>
      <c r="G5521" s="33"/>
    </row>
    <row r="5522" spans="1:7" ht="15.75">
      <c r="A5522" s="33"/>
      <c r="B5522" s="33"/>
      <c r="G5522" s="33"/>
    </row>
    <row r="5523" spans="1:7" ht="15.75">
      <c r="A5523" s="33"/>
      <c r="B5523" s="33"/>
      <c r="G5523" s="33"/>
    </row>
    <row r="5524" spans="1:7" ht="15.75">
      <c r="A5524" s="33"/>
      <c r="B5524" s="33"/>
      <c r="G5524" s="33"/>
    </row>
    <row r="5525" spans="1:7" ht="15.75">
      <c r="A5525" s="33"/>
      <c r="B5525" s="33"/>
      <c r="G5525" s="33"/>
    </row>
    <row r="5526" spans="1:7" ht="15.75">
      <c r="A5526" s="33"/>
      <c r="B5526" s="33"/>
      <c r="G5526" s="33"/>
    </row>
    <row r="5527" spans="1:7" ht="15.75">
      <c r="A5527" s="33"/>
      <c r="B5527" s="33"/>
      <c r="G5527" s="33"/>
    </row>
    <row r="5528" spans="1:7" ht="15.75">
      <c r="A5528" s="33"/>
      <c r="B5528" s="33"/>
      <c r="G5528" s="33"/>
    </row>
    <row r="5529" spans="1:7" ht="15.75">
      <c r="A5529" s="33"/>
      <c r="B5529" s="33"/>
      <c r="G5529" s="33"/>
    </row>
    <row r="5530" spans="1:7" ht="15.75">
      <c r="A5530" s="33"/>
      <c r="B5530" s="33"/>
      <c r="G5530" s="33"/>
    </row>
    <row r="5531" spans="1:7" ht="15.75">
      <c r="A5531" s="33"/>
      <c r="B5531" s="33"/>
      <c r="G5531" s="33"/>
    </row>
    <row r="5532" spans="1:7" ht="15.75">
      <c r="A5532" s="33"/>
      <c r="B5532" s="33"/>
      <c r="G5532" s="33"/>
    </row>
    <row r="5533" spans="1:7" ht="15.75">
      <c r="A5533" s="33"/>
      <c r="B5533" s="33"/>
      <c r="G5533" s="33"/>
    </row>
    <row r="5534" spans="1:7" ht="15.75">
      <c r="A5534" s="33"/>
      <c r="B5534" s="33"/>
      <c r="G5534" s="33"/>
    </row>
    <row r="5535" spans="1:7" ht="15.75">
      <c r="A5535" s="33"/>
      <c r="B5535" s="33"/>
      <c r="G5535" s="33"/>
    </row>
    <row r="5536" spans="1:7" ht="15.75">
      <c r="A5536" s="33"/>
      <c r="B5536" s="33"/>
      <c r="G5536" s="33"/>
    </row>
    <row r="5537" spans="1:7" ht="15.75">
      <c r="A5537" s="33"/>
      <c r="B5537" s="33"/>
      <c r="G5537" s="33"/>
    </row>
    <row r="5538" spans="1:7" ht="15.75">
      <c r="A5538" s="33"/>
      <c r="B5538" s="33"/>
      <c r="G5538" s="33"/>
    </row>
    <row r="5539" spans="1:7" ht="15.75">
      <c r="A5539" s="33"/>
      <c r="B5539" s="33"/>
      <c r="G5539" s="33"/>
    </row>
    <row r="5540" spans="1:7" ht="15.75">
      <c r="A5540" s="33"/>
      <c r="B5540" s="33"/>
      <c r="G5540" s="33"/>
    </row>
    <row r="5541" spans="1:7" ht="15.75">
      <c r="A5541" s="33"/>
      <c r="B5541" s="33"/>
      <c r="G5541" s="33"/>
    </row>
    <row r="5542" spans="1:7" ht="15.75">
      <c r="A5542" s="33"/>
      <c r="B5542" s="33"/>
      <c r="G5542" s="33"/>
    </row>
    <row r="5543" spans="1:7" ht="15.75">
      <c r="A5543" s="33"/>
      <c r="B5543" s="33"/>
      <c r="G5543" s="33"/>
    </row>
    <row r="5544" spans="1:7" ht="15.75">
      <c r="A5544" s="33"/>
      <c r="B5544" s="33"/>
      <c r="G5544" s="33"/>
    </row>
    <row r="5545" spans="1:7" ht="15.75">
      <c r="A5545" s="33"/>
      <c r="B5545" s="33"/>
      <c r="G5545" s="33"/>
    </row>
    <row r="5546" spans="1:7" ht="15.75">
      <c r="A5546" s="33"/>
      <c r="B5546" s="33"/>
      <c r="G5546" s="33"/>
    </row>
    <row r="5547" spans="1:7" ht="15.75">
      <c r="A5547" s="33"/>
      <c r="B5547" s="33"/>
      <c r="G5547" s="33"/>
    </row>
    <row r="5548" spans="1:7" ht="15.75">
      <c r="A5548" s="33"/>
      <c r="B5548" s="33"/>
      <c r="G5548" s="33"/>
    </row>
    <row r="5549" spans="1:7" ht="15.75">
      <c r="A5549" s="33"/>
      <c r="B5549" s="33"/>
      <c r="G5549" s="33"/>
    </row>
    <row r="5550" spans="1:7" ht="15.75">
      <c r="A5550" s="33"/>
      <c r="B5550" s="33"/>
      <c r="G5550" s="33"/>
    </row>
    <row r="5551" spans="1:7" ht="15.75">
      <c r="A5551" s="33"/>
      <c r="B5551" s="33"/>
      <c r="G5551" s="33"/>
    </row>
    <row r="5552" spans="1:7" ht="15.75">
      <c r="A5552" s="33"/>
      <c r="B5552" s="33"/>
      <c r="G5552" s="33"/>
    </row>
    <row r="5553" spans="1:7" ht="15.75">
      <c r="A5553" s="33"/>
      <c r="B5553" s="33"/>
      <c r="G5553" s="33"/>
    </row>
    <row r="5554" spans="1:7" ht="15.75">
      <c r="A5554" s="33"/>
      <c r="B5554" s="33"/>
      <c r="G5554" s="33"/>
    </row>
    <row r="5555" spans="1:7" ht="15.75">
      <c r="A5555" s="33"/>
      <c r="B5555" s="33"/>
      <c r="G5555" s="33"/>
    </row>
    <row r="5556" spans="1:7" ht="15.75">
      <c r="A5556" s="33"/>
      <c r="B5556" s="33"/>
      <c r="G5556" s="33"/>
    </row>
    <row r="5557" spans="1:7" ht="15.75">
      <c r="A5557" s="33"/>
      <c r="B5557" s="33"/>
      <c r="G5557" s="33"/>
    </row>
    <row r="5558" spans="1:7" ht="15.75">
      <c r="A5558" s="33"/>
      <c r="B5558" s="33"/>
      <c r="G5558" s="33"/>
    </row>
    <row r="5559" spans="1:7" ht="15.75">
      <c r="A5559" s="33"/>
      <c r="B5559" s="33"/>
      <c r="G5559" s="33"/>
    </row>
    <row r="5560" spans="1:7" ht="15.75">
      <c r="A5560" s="33"/>
      <c r="B5560" s="33"/>
      <c r="G5560" s="33"/>
    </row>
    <row r="5561" spans="1:7" ht="15.75">
      <c r="A5561" s="33"/>
      <c r="B5561" s="33"/>
      <c r="G5561" s="33"/>
    </row>
    <row r="5562" spans="1:7" ht="15.75">
      <c r="A5562" s="33"/>
      <c r="B5562" s="33"/>
      <c r="G5562" s="33"/>
    </row>
    <row r="5563" spans="1:7" ht="15.75">
      <c r="A5563" s="33"/>
      <c r="B5563" s="33"/>
      <c r="G5563" s="33"/>
    </row>
    <row r="5564" spans="1:7" ht="15.75">
      <c r="A5564" s="33"/>
      <c r="B5564" s="33"/>
      <c r="G5564" s="33"/>
    </row>
    <row r="5565" spans="1:7" ht="15.75">
      <c r="A5565" s="33"/>
      <c r="B5565" s="33"/>
      <c r="G5565" s="33"/>
    </row>
    <row r="5566" spans="1:7" ht="15.75">
      <c r="A5566" s="33"/>
      <c r="B5566" s="33"/>
      <c r="G5566" s="33"/>
    </row>
    <row r="5567" spans="1:7" ht="15.75">
      <c r="A5567" s="33"/>
      <c r="B5567" s="33"/>
      <c r="G5567" s="33"/>
    </row>
    <row r="5568" spans="1:7" ht="15.75">
      <c r="A5568" s="33"/>
      <c r="B5568" s="33"/>
      <c r="G5568" s="33"/>
    </row>
    <row r="5569" spans="1:7" ht="15.75">
      <c r="A5569" s="33"/>
      <c r="B5569" s="33"/>
      <c r="G5569" s="33"/>
    </row>
    <row r="5570" spans="1:7" ht="15.75">
      <c r="A5570" s="33"/>
      <c r="B5570" s="33"/>
      <c r="G5570" s="33"/>
    </row>
    <row r="5571" spans="1:7" ht="15.75">
      <c r="A5571" s="33"/>
      <c r="B5571" s="33"/>
      <c r="G5571" s="33"/>
    </row>
    <row r="5572" spans="1:7" ht="15.75">
      <c r="A5572" s="33"/>
      <c r="B5572" s="33"/>
      <c r="G5572" s="33"/>
    </row>
    <row r="5573" spans="1:7" ht="15.75">
      <c r="A5573" s="33"/>
      <c r="B5573" s="33"/>
      <c r="G5573" s="33"/>
    </row>
    <row r="5574" spans="1:7" ht="15.75">
      <c r="A5574" s="33"/>
      <c r="B5574" s="33"/>
      <c r="G5574" s="33"/>
    </row>
    <row r="5575" spans="1:7" ht="15.75">
      <c r="A5575" s="33"/>
      <c r="B5575" s="33"/>
      <c r="G5575" s="33"/>
    </row>
    <row r="5576" spans="1:7" ht="15.75">
      <c r="A5576" s="33"/>
      <c r="B5576" s="33"/>
      <c r="G5576" s="33"/>
    </row>
    <row r="5577" spans="1:7" ht="15.75">
      <c r="A5577" s="33"/>
      <c r="B5577" s="33"/>
      <c r="G5577" s="33"/>
    </row>
    <row r="5578" spans="1:7" ht="15.75">
      <c r="A5578" s="33"/>
      <c r="B5578" s="33"/>
      <c r="G5578" s="33"/>
    </row>
    <row r="5579" spans="1:7" ht="15.75">
      <c r="A5579" s="33"/>
      <c r="B5579" s="33"/>
      <c r="G5579" s="33"/>
    </row>
    <row r="5580" spans="1:7" ht="15.75">
      <c r="A5580" s="33"/>
      <c r="B5580" s="33"/>
      <c r="G5580" s="33"/>
    </row>
    <row r="5581" spans="1:7" ht="15.75">
      <c r="A5581" s="33"/>
      <c r="B5581" s="33"/>
      <c r="G5581" s="33"/>
    </row>
    <row r="5582" spans="1:7" ht="15.75">
      <c r="A5582" s="33"/>
      <c r="B5582" s="33"/>
      <c r="G5582" s="33"/>
    </row>
    <row r="5583" spans="1:7" ht="15.75">
      <c r="A5583" s="33"/>
      <c r="B5583" s="33"/>
      <c r="G5583" s="33"/>
    </row>
    <row r="5584" spans="1:7" ht="15.75">
      <c r="A5584" s="33"/>
      <c r="B5584" s="33"/>
      <c r="G5584" s="33"/>
    </row>
    <row r="5585" spans="1:7" ht="15.75">
      <c r="A5585" s="33"/>
      <c r="B5585" s="33"/>
      <c r="G5585" s="33"/>
    </row>
    <row r="5586" spans="1:7" ht="15.75">
      <c r="A5586" s="33"/>
      <c r="B5586" s="33"/>
      <c r="G5586" s="33"/>
    </row>
    <row r="5587" spans="1:7" ht="15.75">
      <c r="A5587" s="33"/>
      <c r="B5587" s="33"/>
      <c r="G5587" s="33"/>
    </row>
    <row r="5588" spans="1:7" ht="15.75">
      <c r="A5588" s="33"/>
      <c r="B5588" s="33"/>
      <c r="G5588" s="33"/>
    </row>
    <row r="5589" spans="1:7" ht="15.75">
      <c r="A5589" s="33"/>
      <c r="B5589" s="33"/>
      <c r="G5589" s="33"/>
    </row>
    <row r="5590" spans="1:7" ht="15.75">
      <c r="A5590" s="33"/>
      <c r="B5590" s="33"/>
      <c r="G5590" s="33"/>
    </row>
    <row r="5591" spans="1:7" ht="15.75">
      <c r="A5591" s="33"/>
      <c r="B5591" s="33"/>
      <c r="G5591" s="33"/>
    </row>
    <row r="5592" spans="1:7" ht="15.75">
      <c r="A5592" s="33"/>
      <c r="B5592" s="33"/>
      <c r="G5592" s="33"/>
    </row>
    <row r="5593" spans="1:7" ht="15.75">
      <c r="A5593" s="33"/>
      <c r="B5593" s="33"/>
      <c r="G5593" s="33"/>
    </row>
    <row r="5594" spans="1:7" ht="15.75">
      <c r="A5594" s="33"/>
      <c r="B5594" s="33"/>
      <c r="G5594" s="33"/>
    </row>
    <row r="5595" spans="1:7" ht="15.75">
      <c r="A5595" s="33"/>
      <c r="B5595" s="33"/>
      <c r="G5595" s="33"/>
    </row>
    <row r="5596" spans="1:7" ht="15.75">
      <c r="A5596" s="33"/>
      <c r="B5596" s="33"/>
      <c r="G5596" s="33"/>
    </row>
    <row r="5597" spans="1:7" ht="15.75">
      <c r="A5597" s="33"/>
      <c r="B5597" s="33"/>
      <c r="G5597" s="33"/>
    </row>
    <row r="5598" spans="1:7" ht="15.75">
      <c r="A5598" s="33"/>
      <c r="B5598" s="33"/>
      <c r="G5598" s="33"/>
    </row>
    <row r="5599" spans="1:7" ht="15.75">
      <c r="A5599" s="33"/>
      <c r="B5599" s="33"/>
      <c r="G5599" s="33"/>
    </row>
    <row r="5600" spans="1:7" ht="15.75">
      <c r="A5600" s="33"/>
      <c r="B5600" s="33"/>
      <c r="G5600" s="33"/>
    </row>
    <row r="5601" spans="1:7" ht="15.75">
      <c r="A5601" s="33"/>
      <c r="B5601" s="33"/>
      <c r="G5601" s="33"/>
    </row>
    <row r="5602" spans="1:7" ht="15.75">
      <c r="A5602" s="33"/>
      <c r="B5602" s="33"/>
      <c r="G5602" s="33"/>
    </row>
    <row r="5603" spans="1:7" ht="15.75">
      <c r="A5603" s="33"/>
      <c r="B5603" s="33"/>
      <c r="G5603" s="33"/>
    </row>
    <row r="5604" spans="1:7" ht="15.75">
      <c r="A5604" s="33"/>
      <c r="B5604" s="33"/>
      <c r="G5604" s="33"/>
    </row>
    <row r="5605" spans="1:7" ht="15.75">
      <c r="A5605" s="33"/>
      <c r="B5605" s="33"/>
      <c r="G5605" s="33"/>
    </row>
    <row r="5606" spans="1:7" ht="15.75">
      <c r="A5606" s="33"/>
      <c r="B5606" s="33"/>
      <c r="G5606" s="33"/>
    </row>
    <row r="5607" spans="1:7" ht="15.75">
      <c r="A5607" s="33"/>
      <c r="B5607" s="33"/>
      <c r="G5607" s="33"/>
    </row>
    <row r="5608" spans="1:7" ht="15.75">
      <c r="A5608" s="33"/>
      <c r="B5608" s="33"/>
      <c r="G5608" s="33"/>
    </row>
    <row r="5609" spans="1:7" ht="15.75">
      <c r="A5609" s="33"/>
      <c r="B5609" s="33"/>
      <c r="G5609" s="33"/>
    </row>
    <row r="5610" spans="1:7" ht="15.75">
      <c r="A5610" s="33"/>
      <c r="B5610" s="33"/>
      <c r="G5610" s="33"/>
    </row>
    <row r="5611" spans="1:7" ht="15.75">
      <c r="A5611" s="33"/>
      <c r="B5611" s="33"/>
      <c r="G5611" s="33"/>
    </row>
    <row r="5612" spans="1:7" ht="15.75">
      <c r="A5612" s="33"/>
      <c r="B5612" s="33"/>
      <c r="G5612" s="33"/>
    </row>
    <row r="5613" spans="1:7" ht="15.75">
      <c r="A5613" s="33"/>
      <c r="B5613" s="33"/>
      <c r="G5613" s="33"/>
    </row>
    <row r="5614" spans="1:7" ht="15.75">
      <c r="A5614" s="33"/>
      <c r="B5614" s="33"/>
      <c r="G5614" s="33"/>
    </row>
    <row r="5615" spans="1:7" ht="15.75">
      <c r="A5615" s="33"/>
      <c r="B5615" s="33"/>
      <c r="G5615" s="33"/>
    </row>
    <row r="5616" spans="1:7" ht="15.75">
      <c r="A5616" s="33"/>
      <c r="B5616" s="33"/>
      <c r="G5616" s="33"/>
    </row>
    <row r="5617" spans="1:7" ht="15.75">
      <c r="A5617" s="33"/>
      <c r="B5617" s="33"/>
      <c r="G5617" s="33"/>
    </row>
    <row r="5618" spans="1:7" ht="15.75">
      <c r="A5618" s="33"/>
      <c r="B5618" s="33"/>
      <c r="G5618" s="33"/>
    </row>
    <row r="5619" spans="1:7" ht="15.75">
      <c r="A5619" s="33"/>
      <c r="B5619" s="33"/>
      <c r="G5619" s="33"/>
    </row>
    <row r="5620" spans="1:7" ht="15.75">
      <c r="A5620" s="33"/>
      <c r="B5620" s="33"/>
      <c r="G5620" s="33"/>
    </row>
    <row r="5621" spans="1:7" ht="15.75">
      <c r="A5621" s="33"/>
      <c r="B5621" s="33"/>
      <c r="G5621" s="33"/>
    </row>
    <row r="5622" spans="1:7" ht="15.75">
      <c r="A5622" s="33"/>
      <c r="B5622" s="33"/>
      <c r="G5622" s="33"/>
    </row>
    <row r="5623" spans="1:7" ht="15.75">
      <c r="A5623" s="33"/>
      <c r="B5623" s="33"/>
      <c r="G5623" s="33"/>
    </row>
    <row r="5624" spans="1:7" ht="15.75">
      <c r="A5624" s="33"/>
      <c r="B5624" s="33"/>
      <c r="G5624" s="33"/>
    </row>
    <row r="5625" spans="1:7" ht="15.75">
      <c r="A5625" s="33"/>
      <c r="B5625" s="33"/>
      <c r="G5625" s="33"/>
    </row>
    <row r="5626" spans="1:7" ht="15.75">
      <c r="A5626" s="33"/>
      <c r="B5626" s="33"/>
      <c r="G5626" s="33"/>
    </row>
    <row r="5627" spans="1:7" ht="15.75">
      <c r="A5627" s="33"/>
      <c r="B5627" s="33"/>
      <c r="G5627" s="33"/>
    </row>
    <row r="5628" spans="1:7" ht="15.75">
      <c r="A5628" s="33"/>
      <c r="B5628" s="33"/>
      <c r="G5628" s="33"/>
    </row>
    <row r="5629" spans="1:7" ht="15.75">
      <c r="A5629" s="33"/>
      <c r="B5629" s="33"/>
      <c r="G5629" s="33"/>
    </row>
    <row r="5630" spans="1:7" ht="15.75">
      <c r="A5630" s="33"/>
      <c r="B5630" s="33"/>
      <c r="G5630" s="33"/>
    </row>
    <row r="5631" spans="1:7" ht="15.75">
      <c r="A5631" s="33"/>
      <c r="B5631" s="33"/>
      <c r="G5631" s="33"/>
    </row>
    <row r="5632" spans="1:7" ht="15.75">
      <c r="A5632" s="33"/>
      <c r="B5632" s="33"/>
      <c r="G5632" s="33"/>
    </row>
    <row r="5633" spans="1:7" ht="15.75">
      <c r="A5633" s="33"/>
      <c r="B5633" s="33"/>
      <c r="G5633" s="33"/>
    </row>
    <row r="5634" spans="1:7" ht="15.75">
      <c r="A5634" s="33"/>
      <c r="B5634" s="33"/>
      <c r="G5634" s="33"/>
    </row>
    <row r="5635" spans="1:7" ht="15.75">
      <c r="A5635" s="33"/>
      <c r="B5635" s="33"/>
      <c r="G5635" s="33"/>
    </row>
    <row r="5636" spans="1:7" ht="15.75">
      <c r="A5636" s="33"/>
      <c r="B5636" s="33"/>
      <c r="G5636" s="33"/>
    </row>
    <row r="5637" spans="1:7" ht="15.75">
      <c r="A5637" s="33"/>
      <c r="B5637" s="33"/>
      <c r="G5637" s="33"/>
    </row>
    <row r="5638" spans="1:7" ht="15.75">
      <c r="A5638" s="33"/>
      <c r="B5638" s="33"/>
      <c r="G5638" s="33"/>
    </row>
    <row r="5639" spans="1:7" ht="15.75">
      <c r="A5639" s="33"/>
      <c r="B5639" s="33"/>
      <c r="G5639" s="33"/>
    </row>
    <row r="5640" spans="1:7" ht="15.75">
      <c r="A5640" s="33"/>
      <c r="B5640" s="33"/>
      <c r="G5640" s="33"/>
    </row>
    <row r="5641" spans="1:7" ht="15.75">
      <c r="A5641" s="33"/>
      <c r="B5641" s="33"/>
      <c r="G5641" s="33"/>
    </row>
    <row r="5642" spans="1:7" ht="15.75">
      <c r="A5642" s="33"/>
      <c r="B5642" s="33"/>
      <c r="G5642" s="33"/>
    </row>
    <row r="5643" spans="1:7" ht="15.75">
      <c r="A5643" s="33"/>
      <c r="B5643" s="33"/>
      <c r="G5643" s="33"/>
    </row>
    <row r="5644" spans="1:7" ht="15.75">
      <c r="A5644" s="33"/>
      <c r="B5644" s="33"/>
      <c r="G5644" s="33"/>
    </row>
    <row r="5645" spans="1:7" ht="15.75">
      <c r="A5645" s="33"/>
      <c r="B5645" s="33"/>
      <c r="G5645" s="33"/>
    </row>
    <row r="5646" spans="1:7" ht="15.75">
      <c r="A5646" s="33"/>
      <c r="B5646" s="33"/>
      <c r="G5646" s="33"/>
    </row>
    <row r="5647" spans="1:7" ht="15.75">
      <c r="A5647" s="33"/>
      <c r="B5647" s="33"/>
      <c r="G5647" s="33"/>
    </row>
    <row r="5648" spans="1:7" ht="15.75">
      <c r="A5648" s="33"/>
      <c r="B5648" s="33"/>
      <c r="G5648" s="33"/>
    </row>
    <row r="5649" spans="1:7" ht="15.75">
      <c r="A5649" s="33"/>
      <c r="B5649" s="33"/>
      <c r="G5649" s="33"/>
    </row>
    <row r="5650" spans="1:7" ht="15.75">
      <c r="A5650" s="33"/>
      <c r="B5650" s="33"/>
      <c r="G5650" s="33"/>
    </row>
    <row r="5651" spans="1:7" ht="15.75">
      <c r="A5651" s="33"/>
      <c r="B5651" s="33"/>
      <c r="G5651" s="33"/>
    </row>
    <row r="5652" spans="1:7" ht="15.75">
      <c r="A5652" s="33"/>
      <c r="B5652" s="33"/>
      <c r="G5652" s="33"/>
    </row>
    <row r="5653" spans="1:7" ht="15.75">
      <c r="A5653" s="33"/>
      <c r="B5653" s="33"/>
      <c r="G5653" s="33"/>
    </row>
    <row r="5654" spans="1:7" ht="15.75">
      <c r="A5654" s="33"/>
      <c r="B5654" s="33"/>
      <c r="G5654" s="33"/>
    </row>
    <row r="5655" spans="1:7" ht="15.75">
      <c r="A5655" s="33"/>
      <c r="B5655" s="33"/>
      <c r="G5655" s="33"/>
    </row>
    <row r="5656" spans="1:7" ht="15.75">
      <c r="A5656" s="33"/>
      <c r="B5656" s="33"/>
      <c r="G5656" s="33"/>
    </row>
    <row r="5657" spans="1:7" ht="15.75">
      <c r="A5657" s="33"/>
      <c r="B5657" s="33"/>
      <c r="G5657" s="33"/>
    </row>
    <row r="5658" spans="1:7" ht="15.75">
      <c r="A5658" s="33"/>
      <c r="B5658" s="33"/>
      <c r="G5658" s="33"/>
    </row>
    <row r="5659" spans="1:7" ht="15.75">
      <c r="A5659" s="33"/>
      <c r="B5659" s="33"/>
      <c r="G5659" s="33"/>
    </row>
    <row r="5660" spans="1:7" ht="15.75">
      <c r="A5660" s="33"/>
      <c r="B5660" s="33"/>
      <c r="G5660" s="33"/>
    </row>
    <row r="5661" spans="1:7" ht="15.75">
      <c r="A5661" s="33"/>
      <c r="B5661" s="33"/>
      <c r="G5661" s="33"/>
    </row>
    <row r="5662" spans="1:7" ht="15.75">
      <c r="A5662" s="33"/>
      <c r="B5662" s="33"/>
      <c r="G5662" s="33"/>
    </row>
    <row r="5663" spans="1:7" ht="15.75">
      <c r="A5663" s="33"/>
      <c r="B5663" s="33"/>
      <c r="G5663" s="33"/>
    </row>
    <row r="5664" spans="1:7" ht="15.75">
      <c r="A5664" s="33"/>
      <c r="B5664" s="33"/>
      <c r="G5664" s="33"/>
    </row>
    <row r="5665" spans="1:7" ht="15.75">
      <c r="A5665" s="33"/>
      <c r="B5665" s="33"/>
      <c r="G5665" s="33"/>
    </row>
    <row r="5666" spans="1:7" ht="15.75">
      <c r="A5666" s="33"/>
      <c r="B5666" s="33"/>
      <c r="G5666" s="33"/>
    </row>
    <row r="5667" spans="1:7" ht="15.75">
      <c r="A5667" s="33"/>
      <c r="B5667" s="33"/>
      <c r="G5667" s="33"/>
    </row>
    <row r="5668" spans="1:7" ht="15.75">
      <c r="A5668" s="33"/>
      <c r="B5668" s="33"/>
      <c r="G5668" s="33"/>
    </row>
    <row r="5669" spans="1:7" ht="15.75">
      <c r="A5669" s="33"/>
      <c r="B5669" s="33"/>
      <c r="G5669" s="33"/>
    </row>
    <row r="5670" spans="1:7" ht="15.75">
      <c r="A5670" s="33"/>
      <c r="B5670" s="33"/>
      <c r="G5670" s="33"/>
    </row>
    <row r="5671" spans="1:7" ht="15.75">
      <c r="A5671" s="33"/>
      <c r="B5671" s="33"/>
      <c r="G5671" s="33"/>
    </row>
    <row r="5672" spans="1:7" ht="15.75">
      <c r="A5672" s="33"/>
      <c r="B5672" s="33"/>
      <c r="G5672" s="33"/>
    </row>
    <row r="5673" spans="1:7" ht="15.75">
      <c r="A5673" s="33"/>
      <c r="B5673" s="33"/>
      <c r="G5673" s="33"/>
    </row>
    <row r="5674" spans="1:7" ht="15.75">
      <c r="A5674" s="33"/>
      <c r="B5674" s="33"/>
      <c r="G5674" s="33"/>
    </row>
    <row r="5675" spans="1:7" ht="15.75">
      <c r="A5675" s="33"/>
      <c r="B5675" s="33"/>
      <c r="G5675" s="33"/>
    </row>
    <row r="5676" spans="1:7" ht="15.75">
      <c r="A5676" s="33"/>
      <c r="B5676" s="33"/>
      <c r="G5676" s="33"/>
    </row>
    <row r="5677" spans="1:7" ht="15.75">
      <c r="A5677" s="33"/>
      <c r="B5677" s="33"/>
      <c r="G5677" s="33"/>
    </row>
    <row r="5678" spans="1:7" ht="15.75">
      <c r="A5678" s="33"/>
      <c r="B5678" s="33"/>
      <c r="G5678" s="33"/>
    </row>
    <row r="5679" spans="1:7" ht="15.75">
      <c r="A5679" s="33"/>
      <c r="B5679" s="33"/>
      <c r="G5679" s="33"/>
    </row>
    <row r="5680" spans="1:7" ht="15.75">
      <c r="A5680" s="33"/>
      <c r="B5680" s="33"/>
      <c r="G5680" s="33"/>
    </row>
    <row r="5681" spans="1:7" ht="15.75">
      <c r="A5681" s="33"/>
      <c r="B5681" s="33"/>
      <c r="G5681" s="33"/>
    </row>
    <row r="5682" spans="1:7" ht="15.75">
      <c r="A5682" s="33"/>
      <c r="B5682" s="33"/>
      <c r="G5682" s="33"/>
    </row>
    <row r="5683" spans="1:7" ht="15.75">
      <c r="A5683" s="33"/>
      <c r="B5683" s="33"/>
      <c r="G5683" s="33"/>
    </row>
    <row r="5684" spans="1:7" ht="15.75">
      <c r="A5684" s="33"/>
      <c r="B5684" s="33"/>
      <c r="G5684" s="33"/>
    </row>
    <row r="5685" spans="1:7" ht="15.75">
      <c r="A5685" s="33"/>
      <c r="B5685" s="33"/>
      <c r="G5685" s="33"/>
    </row>
    <row r="5686" spans="1:7" ht="15.75">
      <c r="A5686" s="33"/>
      <c r="B5686" s="33"/>
      <c r="G5686" s="33"/>
    </row>
    <row r="5687" spans="1:7" ht="15.75">
      <c r="A5687" s="33"/>
      <c r="B5687" s="33"/>
      <c r="G5687" s="33"/>
    </row>
    <row r="5688" spans="1:7" ht="15.75">
      <c r="A5688" s="33"/>
      <c r="B5688" s="33"/>
      <c r="G5688" s="33"/>
    </row>
    <row r="5689" spans="1:7" ht="15.75">
      <c r="A5689" s="33"/>
      <c r="B5689" s="33"/>
      <c r="G5689" s="33"/>
    </row>
    <row r="5690" spans="1:7" ht="15.75">
      <c r="A5690" s="33"/>
      <c r="B5690" s="33"/>
      <c r="G5690" s="33"/>
    </row>
    <row r="5691" spans="1:7" ht="15.75">
      <c r="A5691" s="33"/>
      <c r="B5691" s="33"/>
      <c r="G5691" s="33"/>
    </row>
    <row r="5692" spans="1:7" ht="15.75">
      <c r="A5692" s="33"/>
      <c r="B5692" s="33"/>
      <c r="G5692" s="33"/>
    </row>
    <row r="5693" spans="1:7" ht="15.75">
      <c r="A5693" s="33"/>
      <c r="B5693" s="33"/>
      <c r="G5693" s="33"/>
    </row>
    <row r="5694" spans="1:7" ht="15.75">
      <c r="A5694" s="33"/>
      <c r="B5694" s="33"/>
      <c r="G5694" s="33"/>
    </row>
    <row r="5695" spans="1:7" ht="15.75">
      <c r="A5695" s="33"/>
      <c r="B5695" s="33"/>
      <c r="G5695" s="33"/>
    </row>
    <row r="5696" spans="1:7" ht="15.75">
      <c r="A5696" s="33"/>
      <c r="B5696" s="33"/>
      <c r="G5696" s="33"/>
    </row>
    <row r="5697" spans="1:7" ht="15.75">
      <c r="A5697" s="33"/>
      <c r="B5697" s="33"/>
      <c r="G5697" s="33"/>
    </row>
    <row r="5698" spans="1:7" ht="15.75">
      <c r="A5698" s="33"/>
      <c r="B5698" s="33"/>
      <c r="G5698" s="33"/>
    </row>
    <row r="5699" spans="1:7" ht="15.75">
      <c r="A5699" s="33"/>
      <c r="B5699" s="33"/>
      <c r="G5699" s="33"/>
    </row>
    <row r="5700" spans="1:7" ht="15.75">
      <c r="A5700" s="33"/>
      <c r="B5700" s="33"/>
      <c r="G5700" s="33"/>
    </row>
    <row r="5701" spans="1:7" ht="15.75">
      <c r="A5701" s="33"/>
      <c r="B5701" s="33"/>
      <c r="G5701" s="33"/>
    </row>
    <row r="5702" spans="1:7" ht="15.75">
      <c r="A5702" s="33"/>
      <c r="B5702" s="33"/>
      <c r="G5702" s="33"/>
    </row>
    <row r="5703" spans="1:7" ht="15.75">
      <c r="A5703" s="33"/>
      <c r="B5703" s="33"/>
      <c r="G5703" s="33"/>
    </row>
    <row r="5704" spans="1:7" ht="15.75">
      <c r="A5704" s="33"/>
      <c r="B5704" s="33"/>
      <c r="G5704" s="33"/>
    </row>
    <row r="5705" spans="1:7" ht="15.75">
      <c r="A5705" s="33"/>
      <c r="B5705" s="33"/>
      <c r="G5705" s="33"/>
    </row>
    <row r="5706" spans="1:7" ht="15.75">
      <c r="A5706" s="33"/>
      <c r="B5706" s="33"/>
      <c r="G5706" s="33"/>
    </row>
    <row r="5707" spans="1:7" ht="15.75">
      <c r="A5707" s="33"/>
      <c r="B5707" s="33"/>
      <c r="G5707" s="33"/>
    </row>
    <row r="5708" spans="1:7" ht="15.75">
      <c r="A5708" s="33"/>
      <c r="B5708" s="33"/>
      <c r="G5708" s="33"/>
    </row>
    <row r="5709" spans="1:7" ht="15.75">
      <c r="A5709" s="33"/>
      <c r="B5709" s="33"/>
      <c r="G5709" s="33"/>
    </row>
    <row r="5710" spans="1:7" ht="15.75">
      <c r="A5710" s="33"/>
      <c r="B5710" s="33"/>
      <c r="G5710" s="33"/>
    </row>
    <row r="5711" spans="1:7" ht="15.75">
      <c r="A5711" s="33"/>
      <c r="B5711" s="33"/>
      <c r="G5711" s="33"/>
    </row>
    <row r="5712" spans="1:7" ht="15.75">
      <c r="A5712" s="33"/>
      <c r="B5712" s="33"/>
      <c r="G5712" s="33"/>
    </row>
    <row r="5713" spans="1:7" ht="15.75">
      <c r="A5713" s="33"/>
      <c r="B5713" s="33"/>
      <c r="G5713" s="33"/>
    </row>
    <row r="5714" spans="1:7" ht="15.75">
      <c r="A5714" s="33"/>
      <c r="B5714" s="33"/>
      <c r="G5714" s="33"/>
    </row>
    <row r="5715" spans="1:7" ht="15.75">
      <c r="A5715" s="33"/>
      <c r="B5715" s="33"/>
      <c r="G5715" s="33"/>
    </row>
    <row r="5716" spans="1:7" ht="15.75">
      <c r="A5716" s="33"/>
      <c r="B5716" s="33"/>
      <c r="G5716" s="33"/>
    </row>
    <row r="5717" spans="1:7" ht="15.75">
      <c r="A5717" s="33"/>
      <c r="B5717" s="33"/>
      <c r="G5717" s="33"/>
    </row>
    <row r="5718" spans="1:7" ht="15.75">
      <c r="A5718" s="33"/>
      <c r="B5718" s="33"/>
      <c r="G5718" s="33"/>
    </row>
    <row r="5719" spans="1:7" ht="15.75">
      <c r="A5719" s="33"/>
      <c r="B5719" s="33"/>
      <c r="G5719" s="33"/>
    </row>
    <row r="5720" spans="1:7" ht="15.75">
      <c r="A5720" s="33"/>
      <c r="B5720" s="33"/>
      <c r="G5720" s="33"/>
    </row>
    <row r="5721" spans="1:7" ht="15.75">
      <c r="A5721" s="33"/>
      <c r="B5721" s="33"/>
      <c r="G5721" s="33"/>
    </row>
    <row r="5722" spans="1:7" ht="15.75">
      <c r="A5722" s="33"/>
      <c r="B5722" s="33"/>
      <c r="G5722" s="33"/>
    </row>
    <row r="5723" spans="1:7" ht="15.75">
      <c r="A5723" s="33"/>
      <c r="B5723" s="33"/>
      <c r="G5723" s="33"/>
    </row>
    <row r="5724" spans="1:7" ht="15.75">
      <c r="A5724" s="33"/>
      <c r="B5724" s="33"/>
      <c r="G5724" s="33"/>
    </row>
    <row r="5725" spans="1:7" ht="15.75">
      <c r="A5725" s="33"/>
      <c r="B5725" s="33"/>
      <c r="G5725" s="33"/>
    </row>
    <row r="5726" spans="1:7" ht="15.75">
      <c r="A5726" s="33"/>
      <c r="B5726" s="33"/>
      <c r="G5726" s="33"/>
    </row>
    <row r="5727" spans="1:7" ht="15.75">
      <c r="A5727" s="33"/>
      <c r="B5727" s="33"/>
      <c r="G5727" s="33"/>
    </row>
    <row r="5728" spans="1:7" ht="15.75">
      <c r="A5728" s="33"/>
      <c r="B5728" s="33"/>
      <c r="G5728" s="33"/>
    </row>
    <row r="5729" spans="1:7" ht="15.75">
      <c r="A5729" s="33"/>
      <c r="B5729" s="33"/>
      <c r="G5729" s="33"/>
    </row>
    <row r="5730" spans="1:7" ht="15.75">
      <c r="A5730" s="33"/>
      <c r="B5730" s="33"/>
      <c r="G5730" s="33"/>
    </row>
    <row r="5731" spans="1:7" ht="15.75">
      <c r="A5731" s="33"/>
      <c r="B5731" s="33"/>
      <c r="G5731" s="33"/>
    </row>
    <row r="5732" spans="1:7" ht="15.75">
      <c r="A5732" s="33"/>
      <c r="B5732" s="33"/>
      <c r="G5732" s="33"/>
    </row>
    <row r="5733" spans="1:7" ht="15.75">
      <c r="A5733" s="33"/>
      <c r="B5733" s="33"/>
      <c r="G5733" s="33"/>
    </row>
    <row r="5734" spans="1:7" ht="15.75">
      <c r="A5734" s="33"/>
      <c r="B5734" s="33"/>
      <c r="G5734" s="33"/>
    </row>
    <row r="5735" spans="1:7" ht="15.75">
      <c r="A5735" s="33"/>
      <c r="B5735" s="33"/>
      <c r="G5735" s="33"/>
    </row>
    <row r="5736" spans="1:7" ht="15.75">
      <c r="A5736" s="33"/>
      <c r="B5736" s="33"/>
      <c r="G5736" s="33"/>
    </row>
    <row r="5737" spans="1:7" ht="15.75">
      <c r="A5737" s="33"/>
      <c r="B5737" s="33"/>
      <c r="G5737" s="33"/>
    </row>
    <row r="5738" spans="1:7" ht="15.75">
      <c r="A5738" s="33"/>
      <c r="B5738" s="33"/>
      <c r="G5738" s="33"/>
    </row>
    <row r="5739" spans="1:7" ht="15.75">
      <c r="A5739" s="33"/>
      <c r="B5739" s="33"/>
      <c r="G5739" s="33"/>
    </row>
    <row r="5740" spans="1:7" ht="15.75">
      <c r="A5740" s="33"/>
      <c r="B5740" s="33"/>
      <c r="G5740" s="33"/>
    </row>
    <row r="5741" spans="1:7" ht="15.75">
      <c r="A5741" s="33"/>
      <c r="B5741" s="33"/>
      <c r="G5741" s="33"/>
    </row>
    <row r="5742" spans="1:7" ht="15.75">
      <c r="A5742" s="33"/>
      <c r="B5742" s="33"/>
      <c r="G5742" s="33"/>
    </row>
    <row r="5743" spans="1:7" ht="15.75">
      <c r="A5743" s="33"/>
      <c r="B5743" s="33"/>
      <c r="G5743" s="33"/>
    </row>
    <row r="5744" spans="1:7" ht="15.75">
      <c r="A5744" s="33"/>
      <c r="B5744" s="33"/>
      <c r="G5744" s="33"/>
    </row>
    <row r="5745" spans="1:7" ht="15.75">
      <c r="A5745" s="33"/>
      <c r="B5745" s="33"/>
      <c r="G5745" s="33"/>
    </row>
    <row r="5746" spans="1:7" ht="15.75">
      <c r="A5746" s="33"/>
      <c r="B5746" s="33"/>
      <c r="G5746" s="33"/>
    </row>
    <row r="5747" spans="1:7" ht="15.75">
      <c r="A5747" s="33"/>
      <c r="B5747" s="33"/>
      <c r="G5747" s="33"/>
    </row>
    <row r="5748" spans="1:7" ht="15.75">
      <c r="A5748" s="33"/>
      <c r="B5748" s="33"/>
      <c r="G5748" s="33"/>
    </row>
    <row r="5749" spans="1:7" ht="15.75">
      <c r="A5749" s="33"/>
      <c r="B5749" s="33"/>
      <c r="G5749" s="33"/>
    </row>
    <row r="5750" spans="1:7" ht="15.75">
      <c r="A5750" s="33"/>
      <c r="B5750" s="33"/>
      <c r="G5750" s="33"/>
    </row>
    <row r="5751" spans="1:7" ht="15.75">
      <c r="A5751" s="33"/>
      <c r="B5751" s="33"/>
      <c r="G5751" s="33"/>
    </row>
    <row r="5752" spans="1:7" ht="15.75">
      <c r="A5752" s="33"/>
      <c r="B5752" s="33"/>
      <c r="G5752" s="33"/>
    </row>
    <row r="5753" spans="1:7" ht="15.75">
      <c r="A5753" s="33"/>
      <c r="B5753" s="33"/>
      <c r="G5753" s="33"/>
    </row>
    <row r="5754" spans="1:7" ht="15.75">
      <c r="A5754" s="33"/>
      <c r="B5754" s="33"/>
      <c r="G5754" s="33"/>
    </row>
    <row r="5755" spans="1:7" ht="15.75">
      <c r="A5755" s="33"/>
      <c r="B5755" s="33"/>
      <c r="G5755" s="33"/>
    </row>
    <row r="5756" spans="1:7" ht="15.75">
      <c r="A5756" s="33"/>
      <c r="B5756" s="33"/>
      <c r="G5756" s="33"/>
    </row>
    <row r="5757" spans="1:7" ht="15.75">
      <c r="A5757" s="33"/>
      <c r="B5757" s="33"/>
      <c r="G5757" s="33"/>
    </row>
    <row r="5758" spans="1:7" ht="15.75">
      <c r="A5758" s="33"/>
      <c r="B5758" s="33"/>
      <c r="G5758" s="33"/>
    </row>
    <row r="5759" spans="1:7" ht="15.75">
      <c r="A5759" s="33"/>
      <c r="B5759" s="33"/>
      <c r="G5759" s="33"/>
    </row>
    <row r="5760" spans="1:7" ht="15.75">
      <c r="A5760" s="33"/>
      <c r="B5760" s="33"/>
      <c r="G5760" s="33"/>
    </row>
    <row r="5761" spans="1:7" ht="15.75">
      <c r="A5761" s="33"/>
      <c r="B5761" s="33"/>
      <c r="G5761" s="33"/>
    </row>
    <row r="5762" spans="1:7" ht="15.75">
      <c r="A5762" s="33"/>
      <c r="B5762" s="33"/>
      <c r="G5762" s="33"/>
    </row>
    <row r="5763" spans="1:7" ht="15.75">
      <c r="A5763" s="33"/>
      <c r="B5763" s="33"/>
      <c r="G5763" s="33"/>
    </row>
    <row r="5764" spans="1:7" ht="15.75">
      <c r="A5764" s="33"/>
      <c r="B5764" s="33"/>
      <c r="G5764" s="33"/>
    </row>
    <row r="5765" spans="1:7" ht="15.75">
      <c r="A5765" s="33"/>
      <c r="B5765" s="33"/>
      <c r="G5765" s="33"/>
    </row>
    <row r="5766" spans="1:7" ht="15.75">
      <c r="A5766" s="33"/>
      <c r="B5766" s="33"/>
      <c r="G5766" s="33"/>
    </row>
    <row r="5767" spans="1:7" ht="15.75">
      <c r="A5767" s="33"/>
      <c r="B5767" s="33"/>
      <c r="G5767" s="33"/>
    </row>
    <row r="5768" spans="1:7" ht="15.75">
      <c r="A5768" s="33"/>
      <c r="B5768" s="33"/>
      <c r="G5768" s="33"/>
    </row>
    <row r="5769" spans="1:7" ht="15.75">
      <c r="A5769" s="33"/>
      <c r="B5769" s="33"/>
      <c r="G5769" s="33"/>
    </row>
    <row r="5770" spans="1:7" ht="15.75">
      <c r="A5770" s="33"/>
      <c r="B5770" s="33"/>
      <c r="G5770" s="33"/>
    </row>
    <row r="5771" spans="1:7" ht="15.75">
      <c r="A5771" s="33"/>
      <c r="B5771" s="33"/>
      <c r="G5771" s="33"/>
    </row>
    <row r="5772" spans="1:7" ht="15.75">
      <c r="A5772" s="33"/>
      <c r="B5772" s="33"/>
      <c r="G5772" s="33"/>
    </row>
    <row r="5773" spans="1:7" ht="15.75">
      <c r="A5773" s="33"/>
      <c r="B5773" s="33"/>
      <c r="G5773" s="33"/>
    </row>
    <row r="5774" spans="1:7" ht="15.75">
      <c r="A5774" s="33"/>
      <c r="B5774" s="33"/>
      <c r="G5774" s="33"/>
    </row>
    <row r="5775" spans="1:7" ht="15.75">
      <c r="A5775" s="33"/>
      <c r="B5775" s="33"/>
      <c r="G5775" s="33"/>
    </row>
    <row r="5776" spans="1:7" ht="15.75">
      <c r="A5776" s="33"/>
      <c r="B5776" s="33"/>
      <c r="G5776" s="33"/>
    </row>
    <row r="5777" spans="1:7" ht="15.75">
      <c r="A5777" s="33"/>
      <c r="B5777" s="33"/>
      <c r="G5777" s="33"/>
    </row>
    <row r="5778" spans="1:7" ht="15.75">
      <c r="A5778" s="33"/>
      <c r="B5778" s="33"/>
      <c r="G5778" s="33"/>
    </row>
    <row r="5779" spans="1:7" ht="15.75">
      <c r="A5779" s="33"/>
      <c r="B5779" s="33"/>
      <c r="G5779" s="33"/>
    </row>
    <row r="5780" spans="1:7" ht="15.75">
      <c r="A5780" s="33"/>
      <c r="B5780" s="33"/>
      <c r="G5780" s="33"/>
    </row>
    <row r="5781" spans="1:7" ht="15.75">
      <c r="A5781" s="33"/>
      <c r="B5781" s="33"/>
      <c r="G5781" s="33"/>
    </row>
    <row r="5782" spans="1:7" ht="15.75">
      <c r="A5782" s="33"/>
      <c r="B5782" s="33"/>
      <c r="G5782" s="33"/>
    </row>
    <row r="5783" spans="1:7" ht="15.75">
      <c r="A5783" s="33"/>
      <c r="B5783" s="33"/>
      <c r="G5783" s="33"/>
    </row>
    <row r="5784" spans="1:7" ht="15.75">
      <c r="A5784" s="33"/>
      <c r="B5784" s="33"/>
      <c r="G5784" s="33"/>
    </row>
    <row r="5785" spans="1:7" ht="15.75">
      <c r="A5785" s="33"/>
      <c r="B5785" s="33"/>
      <c r="G5785" s="33"/>
    </row>
    <row r="5786" spans="1:7" ht="15.75">
      <c r="A5786" s="33"/>
      <c r="B5786" s="33"/>
      <c r="G5786" s="33"/>
    </row>
    <row r="5787" spans="1:7" ht="15.75">
      <c r="A5787" s="33"/>
      <c r="B5787" s="33"/>
      <c r="G5787" s="33"/>
    </row>
    <row r="5788" spans="1:7" ht="15.75">
      <c r="A5788" s="33"/>
      <c r="B5788" s="33"/>
      <c r="G5788" s="33"/>
    </row>
    <row r="5789" spans="1:7" ht="15.75">
      <c r="A5789" s="33"/>
      <c r="B5789" s="33"/>
      <c r="G5789" s="33"/>
    </row>
    <row r="5790" spans="1:7" ht="15.75">
      <c r="A5790" s="33"/>
      <c r="B5790" s="33"/>
      <c r="G5790" s="33"/>
    </row>
    <row r="5791" spans="1:7" ht="15.75">
      <c r="A5791" s="33"/>
      <c r="B5791" s="33"/>
      <c r="G5791" s="33"/>
    </row>
    <row r="5792" spans="1:7" ht="15.75">
      <c r="A5792" s="33"/>
      <c r="B5792" s="33"/>
      <c r="G5792" s="33"/>
    </row>
    <row r="5793" spans="1:7" ht="15.75">
      <c r="A5793" s="33"/>
      <c r="B5793" s="33"/>
      <c r="G5793" s="33"/>
    </row>
    <row r="5794" spans="1:7" ht="15.75">
      <c r="A5794" s="33"/>
      <c r="B5794" s="33"/>
      <c r="G5794" s="33"/>
    </row>
    <row r="5795" spans="1:7" ht="15.75">
      <c r="A5795" s="33"/>
      <c r="B5795" s="33"/>
      <c r="G5795" s="33"/>
    </row>
    <row r="5796" spans="1:7" ht="15.75">
      <c r="A5796" s="33"/>
      <c r="B5796" s="33"/>
      <c r="G5796" s="33"/>
    </row>
    <row r="5797" spans="1:7" ht="15.75">
      <c r="A5797" s="33"/>
      <c r="B5797" s="33"/>
      <c r="G5797" s="33"/>
    </row>
    <row r="5798" spans="1:7" ht="15.75">
      <c r="A5798" s="33"/>
      <c r="B5798" s="33"/>
      <c r="G5798" s="33"/>
    </row>
    <row r="5799" spans="1:7" ht="15.75">
      <c r="A5799" s="33"/>
      <c r="B5799" s="33"/>
      <c r="G5799" s="33"/>
    </row>
    <row r="5800" spans="1:7" ht="15.75">
      <c r="A5800" s="33"/>
      <c r="B5800" s="33"/>
      <c r="G5800" s="33"/>
    </row>
    <row r="5801" spans="1:7" ht="15.75">
      <c r="A5801" s="33"/>
      <c r="B5801" s="33"/>
      <c r="G5801" s="33"/>
    </row>
    <row r="5802" spans="1:7" ht="15.75">
      <c r="A5802" s="33"/>
      <c r="B5802" s="33"/>
      <c r="G5802" s="33"/>
    </row>
    <row r="5803" spans="1:7" ht="15.75">
      <c r="A5803" s="33"/>
      <c r="B5803" s="33"/>
      <c r="G5803" s="33"/>
    </row>
    <row r="5804" spans="1:7" ht="15.75">
      <c r="A5804" s="33"/>
      <c r="B5804" s="33"/>
      <c r="G5804" s="33"/>
    </row>
    <row r="5805" spans="1:7" ht="15.75">
      <c r="A5805" s="33"/>
      <c r="B5805" s="33"/>
      <c r="G5805" s="33"/>
    </row>
    <row r="5806" spans="1:7" ht="15.75">
      <c r="A5806" s="33"/>
      <c r="B5806" s="33"/>
      <c r="G5806" s="33"/>
    </row>
    <row r="5807" spans="1:7" ht="15.75">
      <c r="A5807" s="33"/>
      <c r="B5807" s="33"/>
      <c r="G5807" s="33"/>
    </row>
    <row r="5808" spans="1:7" ht="15.75">
      <c r="A5808" s="33"/>
      <c r="B5808" s="33"/>
      <c r="G5808" s="33"/>
    </row>
    <row r="5809" spans="1:7" ht="15.75">
      <c r="A5809" s="33"/>
      <c r="B5809" s="33"/>
      <c r="G5809" s="33"/>
    </row>
    <row r="5810" spans="1:7" ht="15.75">
      <c r="A5810" s="33"/>
      <c r="B5810" s="33"/>
      <c r="G5810" s="33"/>
    </row>
    <row r="5811" spans="1:7" ht="15.75">
      <c r="A5811" s="33"/>
      <c r="B5811" s="33"/>
      <c r="G5811" s="33"/>
    </row>
    <row r="5812" spans="1:7" ht="15.75">
      <c r="A5812" s="33"/>
      <c r="B5812" s="33"/>
      <c r="G5812" s="33"/>
    </row>
    <row r="5813" spans="1:7" ht="15.75">
      <c r="A5813" s="33"/>
      <c r="B5813" s="33"/>
      <c r="G5813" s="33"/>
    </row>
    <row r="5814" spans="1:7" ht="15.75">
      <c r="A5814" s="33"/>
      <c r="B5814" s="33"/>
      <c r="G5814" s="33"/>
    </row>
    <row r="5815" spans="1:7" ht="15.75">
      <c r="A5815" s="33"/>
      <c r="B5815" s="33"/>
      <c r="G5815" s="33"/>
    </row>
    <row r="5816" spans="1:7" ht="15.75">
      <c r="A5816" s="33"/>
      <c r="B5816" s="33"/>
      <c r="G5816" s="33"/>
    </row>
    <row r="5817" spans="1:7" ht="15.75">
      <c r="A5817" s="33"/>
      <c r="B5817" s="33"/>
      <c r="G5817" s="33"/>
    </row>
    <row r="5818" spans="1:7" ht="15.75">
      <c r="A5818" s="33"/>
      <c r="B5818" s="33"/>
      <c r="G5818" s="33"/>
    </row>
    <row r="5819" spans="1:7" ht="15.75">
      <c r="A5819" s="33"/>
      <c r="B5819" s="33"/>
      <c r="G5819" s="33"/>
    </row>
    <row r="5820" spans="1:7" ht="15.75">
      <c r="A5820" s="33"/>
      <c r="B5820" s="33"/>
      <c r="G5820" s="33"/>
    </row>
    <row r="5821" spans="1:7" ht="15.75">
      <c r="A5821" s="33"/>
      <c r="B5821" s="33"/>
      <c r="G5821" s="33"/>
    </row>
    <row r="5822" spans="1:7" ht="15.75">
      <c r="A5822" s="33"/>
      <c r="B5822" s="33"/>
      <c r="G5822" s="33"/>
    </row>
    <row r="5823" spans="1:7" ht="15.75">
      <c r="A5823" s="33"/>
      <c r="B5823" s="33"/>
      <c r="G5823" s="33"/>
    </row>
    <row r="5824" spans="1:7" ht="15.75">
      <c r="A5824" s="33"/>
      <c r="B5824" s="33"/>
      <c r="G5824" s="33"/>
    </row>
    <row r="5825" spans="1:7" ht="15.75">
      <c r="A5825" s="33"/>
      <c r="B5825" s="33"/>
      <c r="G5825" s="33"/>
    </row>
    <row r="5826" spans="1:7" ht="15.75">
      <c r="A5826" s="33"/>
      <c r="B5826" s="33"/>
      <c r="G5826" s="33"/>
    </row>
    <row r="5827" spans="1:7" ht="15.75">
      <c r="A5827" s="33"/>
      <c r="B5827" s="33"/>
      <c r="G5827" s="33"/>
    </row>
    <row r="5828" spans="1:7" ht="15.75">
      <c r="A5828" s="33"/>
      <c r="B5828" s="33"/>
      <c r="G5828" s="33"/>
    </row>
    <row r="5829" spans="1:7" ht="15.75">
      <c r="A5829" s="33"/>
      <c r="B5829" s="33"/>
      <c r="G5829" s="33"/>
    </row>
    <row r="5830" spans="1:7" ht="15.75">
      <c r="A5830" s="33"/>
      <c r="B5830" s="33"/>
      <c r="G5830" s="33"/>
    </row>
    <row r="5831" spans="1:7" ht="15.75">
      <c r="A5831" s="33"/>
      <c r="B5831" s="33"/>
      <c r="G5831" s="33"/>
    </row>
    <row r="5832" spans="1:7" ht="15.75">
      <c r="A5832" s="33"/>
      <c r="B5832" s="33"/>
      <c r="G5832" s="33"/>
    </row>
    <row r="5833" spans="1:7" ht="15.75">
      <c r="A5833" s="33"/>
      <c r="B5833" s="33"/>
      <c r="G5833" s="33"/>
    </row>
    <row r="5834" spans="1:7" ht="15.75">
      <c r="A5834" s="33"/>
      <c r="B5834" s="33"/>
      <c r="G5834" s="33"/>
    </row>
    <row r="5835" spans="1:7" ht="15.75">
      <c r="A5835" s="33"/>
      <c r="B5835" s="33"/>
      <c r="G5835" s="33"/>
    </row>
    <row r="5836" spans="1:7" ht="15.75">
      <c r="A5836" s="33"/>
      <c r="B5836" s="33"/>
      <c r="G5836" s="33"/>
    </row>
    <row r="5837" spans="1:7" ht="15.75">
      <c r="A5837" s="33"/>
      <c r="B5837" s="33"/>
      <c r="G5837" s="33"/>
    </row>
    <row r="5838" spans="1:7" ht="15.75">
      <c r="A5838" s="33"/>
      <c r="B5838" s="33"/>
      <c r="G5838" s="33"/>
    </row>
    <row r="5839" spans="1:7" ht="15.75">
      <c r="A5839" s="33"/>
      <c r="B5839" s="33"/>
      <c r="G5839" s="33"/>
    </row>
    <row r="5840" spans="1:7" ht="15.75">
      <c r="A5840" s="33"/>
      <c r="B5840" s="33"/>
      <c r="G5840" s="33"/>
    </row>
    <row r="5841" spans="1:7" ht="15.75">
      <c r="A5841" s="33"/>
      <c r="B5841" s="33"/>
      <c r="G5841" s="33"/>
    </row>
    <row r="5842" spans="1:7" ht="15.75">
      <c r="A5842" s="33"/>
      <c r="B5842" s="33"/>
      <c r="G5842" s="33"/>
    </row>
    <row r="5843" spans="1:7" ht="15.75">
      <c r="A5843" s="33"/>
      <c r="B5843" s="33"/>
      <c r="G5843" s="33"/>
    </row>
    <row r="5844" spans="1:7" ht="15.75">
      <c r="A5844" s="33"/>
      <c r="B5844" s="33"/>
      <c r="G5844" s="33"/>
    </row>
    <row r="5845" spans="1:7" ht="15.75">
      <c r="A5845" s="33"/>
      <c r="B5845" s="33"/>
      <c r="G5845" s="33"/>
    </row>
    <row r="5846" spans="1:7" ht="15.75">
      <c r="A5846" s="33"/>
      <c r="B5846" s="33"/>
      <c r="G5846" s="33"/>
    </row>
    <row r="5847" spans="1:7" ht="15.75">
      <c r="A5847" s="33"/>
      <c r="B5847" s="33"/>
      <c r="G5847" s="33"/>
    </row>
    <row r="5848" spans="1:7" ht="15.75">
      <c r="A5848" s="33"/>
      <c r="B5848" s="33"/>
      <c r="G5848" s="33"/>
    </row>
    <row r="5849" spans="1:7" ht="15.75">
      <c r="A5849" s="33"/>
      <c r="B5849" s="33"/>
      <c r="G5849" s="33"/>
    </row>
    <row r="5850" spans="1:7" ht="15.75">
      <c r="A5850" s="33"/>
      <c r="B5850" s="33"/>
      <c r="G5850" s="33"/>
    </row>
    <row r="5851" spans="1:7" ht="15.75">
      <c r="A5851" s="33"/>
      <c r="B5851" s="33"/>
      <c r="G5851" s="33"/>
    </row>
    <row r="5852" spans="1:7" ht="15.75">
      <c r="A5852" s="33"/>
      <c r="B5852" s="33"/>
      <c r="G5852" s="33"/>
    </row>
    <row r="5853" spans="1:7" ht="15.75">
      <c r="A5853" s="33"/>
      <c r="B5853" s="33"/>
      <c r="G5853" s="33"/>
    </row>
    <row r="5854" spans="1:7" ht="15.75">
      <c r="A5854" s="33"/>
      <c r="B5854" s="33"/>
      <c r="G5854" s="33"/>
    </row>
    <row r="5855" spans="1:7" ht="15.75">
      <c r="A5855" s="33"/>
      <c r="B5855" s="33"/>
      <c r="G5855" s="33"/>
    </row>
    <row r="5856" spans="1:7" ht="15.75">
      <c r="A5856" s="33"/>
      <c r="B5856" s="33"/>
      <c r="G5856" s="33"/>
    </row>
    <row r="5857" spans="1:7" ht="15.75">
      <c r="A5857" s="33"/>
      <c r="B5857" s="33"/>
      <c r="G5857" s="33"/>
    </row>
    <row r="5858" spans="1:7" ht="15.75">
      <c r="A5858" s="33"/>
      <c r="B5858" s="33"/>
      <c r="G5858" s="33"/>
    </row>
    <row r="5859" spans="1:7" ht="15.75">
      <c r="A5859" s="33"/>
      <c r="B5859" s="33"/>
      <c r="G5859" s="33"/>
    </row>
    <row r="5860" spans="1:7" ht="15.75">
      <c r="A5860" s="33"/>
      <c r="B5860" s="33"/>
      <c r="G5860" s="33"/>
    </row>
    <row r="5861" spans="1:7" ht="15.75">
      <c r="A5861" s="33"/>
      <c r="B5861" s="33"/>
      <c r="G5861" s="33"/>
    </row>
    <row r="5862" spans="1:7" ht="15.75">
      <c r="A5862" s="33"/>
      <c r="B5862" s="33"/>
      <c r="G5862" s="33"/>
    </row>
    <row r="5863" spans="1:7" ht="15.75">
      <c r="A5863" s="33"/>
      <c r="B5863" s="33"/>
      <c r="G5863" s="33"/>
    </row>
    <row r="5864" spans="1:7" ht="15.75">
      <c r="A5864" s="33"/>
      <c r="B5864" s="33"/>
      <c r="G5864" s="33"/>
    </row>
    <row r="5865" spans="1:7" ht="15.75">
      <c r="A5865" s="33"/>
      <c r="B5865" s="33"/>
      <c r="G5865" s="33"/>
    </row>
    <row r="5866" spans="1:7" ht="15.75">
      <c r="A5866" s="33"/>
      <c r="B5866" s="33"/>
      <c r="G5866" s="33"/>
    </row>
    <row r="5867" spans="1:7" ht="15.75">
      <c r="A5867" s="33"/>
      <c r="B5867" s="33"/>
      <c r="G5867" s="33"/>
    </row>
    <row r="5868" spans="1:7" ht="15.75">
      <c r="A5868" s="33"/>
      <c r="B5868" s="33"/>
      <c r="G5868" s="33"/>
    </row>
    <row r="5869" spans="1:7" ht="15.75">
      <c r="A5869" s="33"/>
      <c r="B5869" s="33"/>
      <c r="G5869" s="33"/>
    </row>
    <row r="5870" spans="1:7" ht="15.75">
      <c r="A5870" s="33"/>
      <c r="B5870" s="33"/>
      <c r="G5870" s="33"/>
    </row>
    <row r="5871" spans="1:7" ht="15.75">
      <c r="A5871" s="33"/>
      <c r="B5871" s="33"/>
      <c r="G5871" s="33"/>
    </row>
    <row r="5872" spans="1:7" ht="15.75">
      <c r="A5872" s="33"/>
      <c r="B5872" s="33"/>
      <c r="G5872" s="33"/>
    </row>
    <row r="5873" spans="1:7" ht="15.75">
      <c r="A5873" s="33"/>
      <c r="B5873" s="33"/>
      <c r="G5873" s="33"/>
    </row>
    <row r="5874" spans="1:7" ht="15.75">
      <c r="A5874" s="33"/>
      <c r="B5874" s="33"/>
      <c r="G5874" s="33"/>
    </row>
    <row r="5875" spans="1:7" ht="15.75">
      <c r="A5875" s="33"/>
      <c r="B5875" s="33"/>
      <c r="G5875" s="33"/>
    </row>
    <row r="5876" spans="1:7" ht="15.75">
      <c r="A5876" s="33"/>
      <c r="B5876" s="33"/>
      <c r="G5876" s="33"/>
    </row>
    <row r="5877" spans="1:7" ht="15.75">
      <c r="A5877" s="33"/>
      <c r="B5877" s="33"/>
      <c r="G5877" s="33"/>
    </row>
    <row r="5878" spans="1:7" ht="15.75">
      <c r="A5878" s="33"/>
      <c r="B5878" s="33"/>
      <c r="G5878" s="33"/>
    </row>
    <row r="5879" spans="1:7" ht="15.75">
      <c r="A5879" s="33"/>
      <c r="B5879" s="33"/>
      <c r="G5879" s="33"/>
    </row>
    <row r="5880" spans="1:7" ht="15.75">
      <c r="A5880" s="33"/>
      <c r="B5880" s="33"/>
      <c r="G5880" s="33"/>
    </row>
    <row r="5881" spans="1:7" ht="15.75">
      <c r="A5881" s="33"/>
      <c r="B5881" s="33"/>
      <c r="G5881" s="33"/>
    </row>
    <row r="5882" spans="1:7" ht="15.75">
      <c r="A5882" s="33"/>
      <c r="B5882" s="33"/>
      <c r="G5882" s="33"/>
    </row>
    <row r="5883" spans="1:7" ht="15.75">
      <c r="A5883" s="33"/>
      <c r="B5883" s="33"/>
      <c r="G5883" s="33"/>
    </row>
    <row r="5884" spans="1:7" ht="15.75">
      <c r="A5884" s="33"/>
      <c r="B5884" s="33"/>
      <c r="G5884" s="33"/>
    </row>
    <row r="5885" spans="1:7" ht="15.75">
      <c r="A5885" s="33"/>
      <c r="B5885" s="33"/>
      <c r="G5885" s="33"/>
    </row>
    <row r="5886" spans="1:7" ht="15.75">
      <c r="A5886" s="33"/>
      <c r="B5886" s="33"/>
      <c r="G5886" s="33"/>
    </row>
    <row r="5887" spans="1:7" ht="15.75">
      <c r="A5887" s="33"/>
      <c r="B5887" s="33"/>
      <c r="G5887" s="33"/>
    </row>
    <row r="5888" spans="1:7" ht="15.75">
      <c r="A5888" s="33"/>
      <c r="B5888" s="33"/>
      <c r="G5888" s="33"/>
    </row>
    <row r="5889" spans="1:7" ht="15.75">
      <c r="A5889" s="33"/>
      <c r="B5889" s="33"/>
      <c r="G5889" s="33"/>
    </row>
    <row r="5890" spans="1:7" ht="15.75">
      <c r="A5890" s="33"/>
      <c r="B5890" s="33"/>
      <c r="G5890" s="33"/>
    </row>
    <row r="5891" spans="1:7" ht="15.75">
      <c r="A5891" s="33"/>
      <c r="B5891" s="33"/>
      <c r="G5891" s="33"/>
    </row>
    <row r="5892" spans="1:7" ht="15.75">
      <c r="A5892" s="33"/>
      <c r="B5892" s="33"/>
      <c r="G5892" s="33"/>
    </row>
    <row r="5893" spans="1:7" ht="15.75">
      <c r="A5893" s="33"/>
      <c r="B5893" s="33"/>
      <c r="G5893" s="33"/>
    </row>
    <row r="5894" spans="1:7" ht="15.75">
      <c r="A5894" s="33"/>
      <c r="B5894" s="33"/>
      <c r="G5894" s="33"/>
    </row>
    <row r="5895" spans="1:7" ht="15.75">
      <c r="A5895" s="33"/>
      <c r="B5895" s="33"/>
      <c r="G5895" s="33"/>
    </row>
    <row r="5896" spans="1:7" ht="15.75">
      <c r="A5896" s="33"/>
      <c r="B5896" s="33"/>
      <c r="G5896" s="33"/>
    </row>
    <row r="5897" spans="1:7" ht="15.75">
      <c r="A5897" s="33"/>
      <c r="B5897" s="33"/>
      <c r="G5897" s="33"/>
    </row>
    <row r="5898" spans="1:7" ht="15.75">
      <c r="A5898" s="33"/>
      <c r="B5898" s="33"/>
      <c r="G5898" s="33"/>
    </row>
    <row r="5899" spans="1:7" ht="15.75">
      <c r="A5899" s="33"/>
      <c r="B5899" s="33"/>
      <c r="G5899" s="33"/>
    </row>
    <row r="5900" spans="1:7" ht="15.75">
      <c r="A5900" s="33"/>
      <c r="B5900" s="33"/>
      <c r="G5900" s="33"/>
    </row>
    <row r="5901" spans="1:7" ht="15.75">
      <c r="A5901" s="33"/>
      <c r="B5901" s="33"/>
      <c r="G5901" s="33"/>
    </row>
    <row r="5902" spans="1:7" ht="15.75">
      <c r="A5902" s="33"/>
      <c r="B5902" s="33"/>
      <c r="G5902" s="33"/>
    </row>
    <row r="5903" spans="1:7" ht="15.75">
      <c r="A5903" s="33"/>
      <c r="B5903" s="33"/>
      <c r="G5903" s="33"/>
    </row>
    <row r="5904" spans="1:7" ht="15.75">
      <c r="A5904" s="33"/>
      <c r="B5904" s="33"/>
      <c r="G5904" s="33"/>
    </row>
    <row r="5905" spans="1:7" ht="15.75">
      <c r="A5905" s="33"/>
      <c r="B5905" s="33"/>
      <c r="G5905" s="33"/>
    </row>
    <row r="5906" spans="1:7" ht="15.75">
      <c r="A5906" s="33"/>
      <c r="B5906" s="33"/>
      <c r="G5906" s="33"/>
    </row>
    <row r="5907" spans="1:7" ht="15.75">
      <c r="A5907" s="33"/>
      <c r="B5907" s="33"/>
      <c r="G5907" s="33"/>
    </row>
    <row r="5908" spans="1:7" ht="15.75">
      <c r="A5908" s="33"/>
      <c r="B5908" s="33"/>
      <c r="G5908" s="33"/>
    </row>
    <row r="5909" spans="1:7" ht="15.75">
      <c r="A5909" s="33"/>
      <c r="B5909" s="33"/>
      <c r="G5909" s="33"/>
    </row>
    <row r="5910" spans="1:7" ht="15.75">
      <c r="A5910" s="33"/>
      <c r="B5910" s="33"/>
      <c r="G5910" s="33"/>
    </row>
    <row r="5911" spans="1:7" ht="15.75">
      <c r="A5911" s="33"/>
      <c r="B5911" s="33"/>
      <c r="G5911" s="33"/>
    </row>
    <row r="5912" spans="1:7" ht="15.75">
      <c r="A5912" s="33"/>
      <c r="B5912" s="33"/>
      <c r="G5912" s="33"/>
    </row>
    <row r="5913" spans="1:7" ht="15.75">
      <c r="A5913" s="33"/>
      <c r="B5913" s="33"/>
      <c r="G5913" s="33"/>
    </row>
    <row r="5914" spans="1:7" ht="15.75">
      <c r="A5914" s="33"/>
      <c r="B5914" s="33"/>
      <c r="G5914" s="33"/>
    </row>
    <row r="5915" spans="1:7" ht="15.75">
      <c r="A5915" s="33"/>
      <c r="B5915" s="33"/>
      <c r="G5915" s="33"/>
    </row>
    <row r="5916" spans="1:7" ht="15.75">
      <c r="A5916" s="33"/>
      <c r="B5916" s="33"/>
      <c r="G5916" s="33"/>
    </row>
    <row r="5917" spans="1:7" ht="15.75">
      <c r="A5917" s="33"/>
      <c r="B5917" s="33"/>
      <c r="G5917" s="33"/>
    </row>
    <row r="5918" spans="1:7" ht="15.75">
      <c r="A5918" s="33"/>
      <c r="B5918" s="33"/>
      <c r="G5918" s="33"/>
    </row>
    <row r="5919" spans="1:7" ht="15.75">
      <c r="A5919" s="33"/>
      <c r="B5919" s="33"/>
      <c r="G5919" s="33"/>
    </row>
    <row r="5920" spans="1:7" ht="15.75">
      <c r="A5920" s="33"/>
      <c r="B5920" s="33"/>
      <c r="G5920" s="33"/>
    </row>
    <row r="5921" spans="1:7" ht="15.75">
      <c r="A5921" s="33"/>
      <c r="B5921" s="33"/>
      <c r="G5921" s="33"/>
    </row>
    <row r="5922" spans="1:7" ht="15.75">
      <c r="A5922" s="33"/>
      <c r="B5922" s="33"/>
      <c r="G5922" s="33"/>
    </row>
    <row r="5923" spans="1:7" ht="15.75">
      <c r="A5923" s="33"/>
      <c r="B5923" s="33"/>
      <c r="G5923" s="33"/>
    </row>
    <row r="5924" spans="1:7" ht="15.75">
      <c r="A5924" s="33"/>
      <c r="B5924" s="33"/>
      <c r="G5924" s="33"/>
    </row>
    <row r="5925" spans="1:7" ht="15.75">
      <c r="A5925" s="33"/>
      <c r="B5925" s="33"/>
      <c r="G5925" s="33"/>
    </row>
    <row r="5926" spans="1:7" ht="15.75">
      <c r="A5926" s="33"/>
      <c r="B5926" s="33"/>
      <c r="G5926" s="33"/>
    </row>
    <row r="5927" spans="1:7" ht="15.75">
      <c r="A5927" s="33"/>
      <c r="B5927" s="33"/>
      <c r="G5927" s="33"/>
    </row>
    <row r="5928" spans="1:7" ht="15.75">
      <c r="A5928" s="33"/>
      <c r="B5928" s="33"/>
      <c r="G5928" s="33"/>
    </row>
    <row r="5929" spans="1:7" ht="15.75">
      <c r="A5929" s="33"/>
      <c r="B5929" s="33"/>
      <c r="G5929" s="33"/>
    </row>
    <row r="5930" spans="1:7" ht="15.75">
      <c r="A5930" s="33"/>
      <c r="B5930" s="33"/>
      <c r="G5930" s="33"/>
    </row>
    <row r="5931" spans="1:7" ht="15.75">
      <c r="A5931" s="33"/>
      <c r="B5931" s="33"/>
      <c r="G5931" s="33"/>
    </row>
    <row r="5932" spans="1:7" ht="15.75">
      <c r="A5932" s="33"/>
      <c r="B5932" s="33"/>
      <c r="G5932" s="33"/>
    </row>
    <row r="5933" spans="1:7" ht="15.75">
      <c r="A5933" s="33"/>
      <c r="B5933" s="33"/>
      <c r="G5933" s="33"/>
    </row>
    <row r="5934" spans="1:7" ht="15.75">
      <c r="A5934" s="33"/>
      <c r="B5934" s="33"/>
      <c r="G5934" s="33"/>
    </row>
    <row r="5935" spans="1:7" ht="15.75">
      <c r="A5935" s="33"/>
      <c r="B5935" s="33"/>
      <c r="G5935" s="33"/>
    </row>
    <row r="5936" spans="1:7" ht="15.75">
      <c r="A5936" s="33"/>
      <c r="B5936" s="33"/>
      <c r="G5936" s="33"/>
    </row>
    <row r="5937" spans="1:7" ht="15.75">
      <c r="A5937" s="33"/>
      <c r="B5937" s="33"/>
      <c r="G5937" s="33"/>
    </row>
    <row r="5938" spans="1:7" ht="15.75">
      <c r="A5938" s="33"/>
      <c r="B5938" s="33"/>
      <c r="G5938" s="33"/>
    </row>
    <row r="5939" spans="1:7" ht="15.75">
      <c r="A5939" s="33"/>
      <c r="B5939" s="33"/>
      <c r="G5939" s="33"/>
    </row>
    <row r="5940" spans="1:7" ht="15.75">
      <c r="A5940" s="33"/>
      <c r="B5940" s="33"/>
      <c r="G5940" s="33"/>
    </row>
    <row r="5941" spans="1:7" ht="15.75">
      <c r="A5941" s="33"/>
      <c r="B5941" s="33"/>
      <c r="G5941" s="33"/>
    </row>
    <row r="5942" spans="1:7" ht="15.75">
      <c r="A5942" s="33"/>
      <c r="B5942" s="33"/>
      <c r="G5942" s="33"/>
    </row>
    <row r="5943" spans="1:7" ht="15.75">
      <c r="A5943" s="33"/>
      <c r="B5943" s="33"/>
      <c r="G5943" s="33"/>
    </row>
    <row r="5944" spans="1:7" ht="15.75">
      <c r="A5944" s="33"/>
      <c r="B5944" s="33"/>
      <c r="G5944" s="33"/>
    </row>
    <row r="5945" spans="1:7" ht="15.75">
      <c r="A5945" s="33"/>
      <c r="B5945" s="33"/>
      <c r="G5945" s="33"/>
    </row>
    <row r="5946" spans="1:7" ht="15.75">
      <c r="A5946" s="33"/>
      <c r="B5946" s="33"/>
      <c r="G5946" s="33"/>
    </row>
    <row r="5947" spans="1:7" ht="15.75">
      <c r="A5947" s="33"/>
      <c r="B5947" s="33"/>
      <c r="G5947" s="33"/>
    </row>
    <row r="5948" spans="1:7" ht="15.75">
      <c r="A5948" s="33"/>
      <c r="B5948" s="33"/>
      <c r="G5948" s="33"/>
    </row>
    <row r="5949" spans="1:7" ht="15.75">
      <c r="A5949" s="33"/>
      <c r="B5949" s="33"/>
      <c r="G5949" s="33"/>
    </row>
    <row r="5950" spans="1:7" ht="15.75">
      <c r="A5950" s="33"/>
      <c r="B5950" s="33"/>
      <c r="G5950" s="33"/>
    </row>
    <row r="5951" spans="1:7" ht="15.75">
      <c r="A5951" s="33"/>
      <c r="B5951" s="33"/>
      <c r="G5951" s="33"/>
    </row>
    <row r="5952" spans="1:7" ht="15.75">
      <c r="A5952" s="33"/>
      <c r="B5952" s="33"/>
      <c r="G5952" s="33"/>
    </row>
    <row r="5953" spans="1:7" ht="15.75">
      <c r="A5953" s="33"/>
      <c r="B5953" s="33"/>
      <c r="G5953" s="33"/>
    </row>
    <row r="5954" spans="1:7" ht="15.75">
      <c r="A5954" s="33"/>
      <c r="B5954" s="33"/>
      <c r="G5954" s="33"/>
    </row>
    <row r="5955" spans="1:7" ht="15.75">
      <c r="A5955" s="33"/>
      <c r="B5955" s="33"/>
      <c r="G5955" s="33"/>
    </row>
    <row r="5956" spans="1:7" ht="15.75">
      <c r="A5956" s="33"/>
      <c r="B5956" s="33"/>
      <c r="G5956" s="33"/>
    </row>
    <row r="5957" spans="1:7" ht="15.75">
      <c r="A5957" s="33"/>
      <c r="B5957" s="33"/>
      <c r="G5957" s="33"/>
    </row>
    <row r="5958" spans="1:7" ht="15.75">
      <c r="A5958" s="33"/>
      <c r="B5958" s="33"/>
      <c r="G5958" s="33"/>
    </row>
    <row r="5959" spans="1:7" ht="15.75">
      <c r="A5959" s="33"/>
      <c r="B5959" s="33"/>
      <c r="G5959" s="33"/>
    </row>
    <row r="5960" spans="1:7" ht="15.75">
      <c r="A5960" s="33"/>
      <c r="B5960" s="33"/>
      <c r="G5960" s="33"/>
    </row>
    <row r="5961" spans="1:7" ht="15.75">
      <c r="A5961" s="33"/>
      <c r="B5961" s="33"/>
      <c r="G5961" s="33"/>
    </row>
    <row r="5962" spans="1:7" ht="15.75">
      <c r="A5962" s="33"/>
      <c r="B5962" s="33"/>
      <c r="G5962" s="33"/>
    </row>
    <row r="5963" spans="1:7" ht="15.75">
      <c r="A5963" s="33"/>
      <c r="B5963" s="33"/>
      <c r="G5963" s="33"/>
    </row>
    <row r="5964" spans="1:7" ht="15.75">
      <c r="A5964" s="33"/>
      <c r="B5964" s="33"/>
      <c r="G5964" s="33"/>
    </row>
    <row r="5965" spans="1:7" ht="15.75">
      <c r="A5965" s="33"/>
      <c r="B5965" s="33"/>
      <c r="G5965" s="33"/>
    </row>
    <row r="5966" spans="1:7" ht="15.75">
      <c r="A5966" s="33"/>
      <c r="B5966" s="33"/>
      <c r="G5966" s="33"/>
    </row>
    <row r="5967" spans="1:7" ht="15.75">
      <c r="A5967" s="33"/>
      <c r="B5967" s="33"/>
      <c r="G5967" s="33"/>
    </row>
    <row r="5968" spans="1:7" ht="15.75">
      <c r="A5968" s="33"/>
      <c r="B5968" s="33"/>
      <c r="G5968" s="33"/>
    </row>
    <row r="5969" spans="1:7" ht="15.75">
      <c r="A5969" s="33"/>
      <c r="B5969" s="33"/>
      <c r="G5969" s="33"/>
    </row>
    <row r="5970" spans="1:7" ht="15.75">
      <c r="A5970" s="33"/>
      <c r="B5970" s="33"/>
      <c r="G5970" s="33"/>
    </row>
    <row r="5971" spans="1:7" ht="15.75">
      <c r="A5971" s="33"/>
      <c r="B5971" s="33"/>
      <c r="G5971" s="33"/>
    </row>
    <row r="5972" spans="1:7" ht="15.75">
      <c r="A5972" s="33"/>
      <c r="B5972" s="33"/>
      <c r="G5972" s="33"/>
    </row>
    <row r="5973" spans="1:7" ht="15.75">
      <c r="A5973" s="33"/>
      <c r="B5973" s="33"/>
      <c r="G5973" s="33"/>
    </row>
    <row r="5974" spans="1:7" ht="15.75">
      <c r="A5974" s="33"/>
      <c r="B5974" s="33"/>
      <c r="G5974" s="33"/>
    </row>
    <row r="5975" spans="1:7" ht="15.75">
      <c r="A5975" s="33"/>
      <c r="B5975" s="33"/>
      <c r="G5975" s="33"/>
    </row>
    <row r="5976" spans="1:7" ht="15.75">
      <c r="A5976" s="33"/>
      <c r="B5976" s="33"/>
      <c r="G5976" s="33"/>
    </row>
    <row r="5977" spans="1:7" ht="15.75">
      <c r="A5977" s="33"/>
      <c r="B5977" s="33"/>
      <c r="G5977" s="33"/>
    </row>
    <row r="5978" spans="1:7" ht="15.75">
      <c r="A5978" s="33"/>
      <c r="B5978" s="33"/>
      <c r="G5978" s="33"/>
    </row>
    <row r="5979" spans="1:7" ht="15.75">
      <c r="A5979" s="33"/>
      <c r="B5979" s="33"/>
      <c r="G5979" s="33"/>
    </row>
    <row r="5980" spans="1:7" ht="15.75">
      <c r="A5980" s="33"/>
      <c r="B5980" s="33"/>
      <c r="G5980" s="33"/>
    </row>
    <row r="5981" spans="1:7" ht="15.75">
      <c r="A5981" s="33"/>
      <c r="B5981" s="33"/>
      <c r="G5981" s="33"/>
    </row>
    <row r="5982" spans="1:7" ht="15.75">
      <c r="A5982" s="33"/>
      <c r="B5982" s="33"/>
      <c r="G5982" s="33"/>
    </row>
    <row r="5983" spans="1:7" ht="15.75">
      <c r="A5983" s="33"/>
      <c r="B5983" s="33"/>
      <c r="G5983" s="33"/>
    </row>
    <row r="5984" spans="1:7" ht="15.75">
      <c r="A5984" s="33"/>
      <c r="B5984" s="33"/>
      <c r="G5984" s="33"/>
    </row>
    <row r="5985" spans="1:7" ht="15.75">
      <c r="A5985" s="33"/>
      <c r="B5985" s="33"/>
      <c r="G5985" s="33"/>
    </row>
    <row r="5986" spans="1:7" ht="15.75">
      <c r="A5986" s="33"/>
      <c r="B5986" s="33"/>
      <c r="G5986" s="33"/>
    </row>
    <row r="5987" spans="1:7" ht="15.75">
      <c r="A5987" s="33"/>
      <c r="B5987" s="33"/>
      <c r="G5987" s="33"/>
    </row>
    <row r="5988" spans="1:7" ht="15.75">
      <c r="A5988" s="33"/>
      <c r="B5988" s="33"/>
      <c r="G5988" s="33"/>
    </row>
    <row r="5989" spans="1:7" ht="15.75">
      <c r="A5989" s="33"/>
      <c r="B5989" s="33"/>
      <c r="G5989" s="33"/>
    </row>
    <row r="5990" spans="1:7" ht="15.75">
      <c r="A5990" s="33"/>
      <c r="B5990" s="33"/>
      <c r="G5990" s="33"/>
    </row>
    <row r="5991" spans="1:7" ht="15.75">
      <c r="A5991" s="33"/>
      <c r="B5991" s="33"/>
      <c r="G5991" s="33"/>
    </row>
    <row r="5992" spans="1:7" ht="15.75">
      <c r="A5992" s="33"/>
      <c r="B5992" s="33"/>
      <c r="G5992" s="33"/>
    </row>
    <row r="5993" spans="1:7" ht="15.75">
      <c r="A5993" s="33"/>
      <c r="B5993" s="33"/>
      <c r="G5993" s="33"/>
    </row>
    <row r="5994" spans="1:7" ht="15.75">
      <c r="A5994" s="33"/>
      <c r="B5994" s="33"/>
      <c r="G5994" s="33"/>
    </row>
    <row r="5995" spans="1:7" ht="15.75">
      <c r="A5995" s="33"/>
      <c r="B5995" s="33"/>
      <c r="G5995" s="33"/>
    </row>
    <row r="5996" spans="1:7" ht="15.75">
      <c r="A5996" s="33"/>
      <c r="B5996" s="33"/>
      <c r="G5996" s="33"/>
    </row>
    <row r="5997" spans="1:7" ht="15.75">
      <c r="A5997" s="33"/>
      <c r="B5997" s="33"/>
      <c r="G5997" s="33"/>
    </row>
    <row r="5998" spans="1:7" ht="15.75">
      <c r="A5998" s="33"/>
      <c r="B5998" s="33"/>
      <c r="G5998" s="33"/>
    </row>
    <row r="5999" spans="1:7" ht="15.75">
      <c r="A5999" s="33"/>
      <c r="B5999" s="33"/>
      <c r="G5999" s="33"/>
    </row>
    <row r="6000" spans="1:7" ht="15.75">
      <c r="A6000" s="33"/>
      <c r="B6000" s="33"/>
      <c r="G6000" s="33"/>
    </row>
    <row r="6001" spans="1:7" ht="15.75">
      <c r="A6001" s="33"/>
      <c r="B6001" s="33"/>
      <c r="G6001" s="33"/>
    </row>
    <row r="6002" spans="1:7" ht="15.75">
      <c r="A6002" s="33"/>
      <c r="B6002" s="33"/>
      <c r="G6002" s="33"/>
    </row>
    <row r="6003" spans="1:7" ht="15.75">
      <c r="A6003" s="33"/>
      <c r="B6003" s="33"/>
      <c r="G6003" s="33"/>
    </row>
    <row r="6004" spans="1:7" ht="15.75">
      <c r="A6004" s="33"/>
      <c r="B6004" s="33"/>
      <c r="G6004" s="33"/>
    </row>
    <row r="6005" spans="1:7" ht="15.75">
      <c r="A6005" s="33"/>
      <c r="B6005" s="33"/>
      <c r="G6005" s="33"/>
    </row>
    <row r="6006" spans="1:7" ht="15.75">
      <c r="A6006" s="33"/>
      <c r="B6006" s="33"/>
      <c r="G6006" s="33"/>
    </row>
    <row r="6007" spans="1:7" ht="15.75">
      <c r="A6007" s="33"/>
      <c r="B6007" s="33"/>
      <c r="G6007" s="33"/>
    </row>
    <row r="6008" spans="1:7" ht="15.75">
      <c r="A6008" s="33"/>
      <c r="B6008" s="33"/>
      <c r="G6008" s="33"/>
    </row>
    <row r="6009" spans="1:7" ht="15.75">
      <c r="A6009" s="33"/>
      <c r="B6009" s="33"/>
      <c r="G6009" s="33"/>
    </row>
    <row r="6010" spans="1:7" ht="15.75">
      <c r="A6010" s="33"/>
      <c r="B6010" s="33"/>
      <c r="G6010" s="33"/>
    </row>
    <row r="6011" spans="1:7" ht="15.75">
      <c r="A6011" s="33"/>
      <c r="B6011" s="33"/>
      <c r="G6011" s="33"/>
    </row>
    <row r="6012" spans="1:7" ht="15.75">
      <c r="A6012" s="33"/>
      <c r="B6012" s="33"/>
      <c r="G6012" s="33"/>
    </row>
    <row r="6013" spans="1:7" ht="15.75">
      <c r="A6013" s="33"/>
      <c r="B6013" s="33"/>
      <c r="G6013" s="33"/>
    </row>
    <row r="6014" spans="1:7" ht="15.75">
      <c r="A6014" s="33"/>
      <c r="B6014" s="33"/>
      <c r="G6014" s="33"/>
    </row>
    <row r="6015" spans="1:7" ht="15.75">
      <c r="A6015" s="33"/>
      <c r="B6015" s="33"/>
      <c r="G6015" s="33"/>
    </row>
    <row r="6016" spans="1:7" ht="15.75">
      <c r="A6016" s="33"/>
      <c r="B6016" s="33"/>
      <c r="G6016" s="33"/>
    </row>
    <row r="6017" spans="1:7" ht="15.75">
      <c r="A6017" s="33"/>
      <c r="B6017" s="33"/>
      <c r="G6017" s="33"/>
    </row>
    <row r="6018" spans="1:7" ht="15.75">
      <c r="A6018" s="33"/>
      <c r="B6018" s="33"/>
      <c r="G6018" s="33"/>
    </row>
    <row r="6019" spans="1:7" ht="15.75">
      <c r="A6019" s="33"/>
      <c r="B6019" s="33"/>
      <c r="G6019" s="33"/>
    </row>
    <row r="6020" spans="1:7" ht="15.75">
      <c r="A6020" s="33"/>
      <c r="B6020" s="33"/>
      <c r="G6020" s="33"/>
    </row>
    <row r="6021" spans="1:7" ht="15.75">
      <c r="A6021" s="33"/>
      <c r="B6021" s="33"/>
      <c r="G6021" s="33"/>
    </row>
    <row r="6022" spans="1:7" ht="15.75">
      <c r="A6022" s="33"/>
      <c r="B6022" s="33"/>
      <c r="G6022" s="33"/>
    </row>
    <row r="6023" spans="1:7" ht="15.75">
      <c r="A6023" s="33"/>
      <c r="B6023" s="33"/>
      <c r="G6023" s="33"/>
    </row>
    <row r="6024" spans="1:7" ht="15.75">
      <c r="A6024" s="33"/>
      <c r="B6024" s="33"/>
      <c r="G6024" s="33"/>
    </row>
    <row r="6025" spans="1:7" ht="15.75">
      <c r="A6025" s="33"/>
      <c r="B6025" s="33"/>
      <c r="G6025" s="33"/>
    </row>
    <row r="6026" spans="1:7" ht="15.75">
      <c r="A6026" s="33"/>
      <c r="B6026" s="33"/>
      <c r="G6026" s="33"/>
    </row>
    <row r="6027" spans="1:7" ht="15.75">
      <c r="A6027" s="33"/>
      <c r="B6027" s="33"/>
      <c r="G6027" s="33"/>
    </row>
    <row r="6028" spans="1:7" ht="15.75">
      <c r="A6028" s="33"/>
      <c r="B6028" s="33"/>
      <c r="G6028" s="33"/>
    </row>
    <row r="6029" spans="1:7" ht="15.75">
      <c r="A6029" s="33"/>
      <c r="B6029" s="33"/>
      <c r="G6029" s="33"/>
    </row>
    <row r="6030" spans="1:7" ht="15.75">
      <c r="A6030" s="33"/>
      <c r="B6030" s="33"/>
      <c r="G6030" s="33"/>
    </row>
    <row r="6031" spans="1:7" ht="15.75">
      <c r="A6031" s="33"/>
      <c r="B6031" s="33"/>
      <c r="G6031" s="33"/>
    </row>
    <row r="6032" spans="1:7" ht="15.75">
      <c r="A6032" s="33"/>
      <c r="B6032" s="33"/>
      <c r="G6032" s="33"/>
    </row>
    <row r="6033" spans="1:7" ht="15.75">
      <c r="A6033" s="33"/>
      <c r="B6033" s="33"/>
      <c r="G6033" s="33"/>
    </row>
    <row r="6034" spans="1:7" ht="15.75">
      <c r="A6034" s="33"/>
      <c r="B6034" s="33"/>
      <c r="G6034" s="33"/>
    </row>
    <row r="6035" spans="1:7" ht="15.75">
      <c r="A6035" s="33"/>
      <c r="B6035" s="33"/>
      <c r="G6035" s="33"/>
    </row>
    <row r="6036" spans="1:7" ht="15.75">
      <c r="A6036" s="33"/>
      <c r="B6036" s="33"/>
      <c r="G6036" s="33"/>
    </row>
    <row r="6037" spans="1:7" ht="15.75">
      <c r="A6037" s="33"/>
      <c r="B6037" s="33"/>
      <c r="G6037" s="33"/>
    </row>
    <row r="6038" spans="1:7" ht="15.75">
      <c r="A6038" s="33"/>
      <c r="B6038" s="33"/>
      <c r="G6038" s="33"/>
    </row>
    <row r="6039" spans="1:7" ht="15.75">
      <c r="A6039" s="33"/>
      <c r="B6039" s="33"/>
      <c r="G6039" s="33"/>
    </row>
    <row r="6040" spans="1:7" ht="15.75">
      <c r="A6040" s="33"/>
      <c r="B6040" s="33"/>
      <c r="G6040" s="33"/>
    </row>
    <row r="6041" spans="1:7" ht="15.75">
      <c r="A6041" s="33"/>
      <c r="B6041" s="33"/>
      <c r="G6041" s="33"/>
    </row>
    <row r="6042" spans="1:7" ht="15.75">
      <c r="A6042" s="33"/>
      <c r="B6042" s="33"/>
      <c r="G6042" s="33"/>
    </row>
    <row r="6043" spans="1:7" ht="15.75">
      <c r="A6043" s="33"/>
      <c r="B6043" s="33"/>
      <c r="G6043" s="33"/>
    </row>
    <row r="6044" spans="1:7" ht="15.75">
      <c r="A6044" s="33"/>
      <c r="B6044" s="33"/>
      <c r="G6044" s="33"/>
    </row>
    <row r="6045" spans="1:7" ht="15.75">
      <c r="A6045" s="33"/>
      <c r="B6045" s="33"/>
      <c r="G6045" s="33"/>
    </row>
    <row r="6046" spans="1:7" ht="15.75">
      <c r="A6046" s="33"/>
      <c r="B6046" s="33"/>
      <c r="G6046" s="33"/>
    </row>
    <row r="6047" spans="1:7" ht="15.75">
      <c r="A6047" s="33"/>
      <c r="B6047" s="33"/>
      <c r="G6047" s="33"/>
    </row>
    <row r="6048" spans="1:7" ht="15.75">
      <c r="A6048" s="33"/>
      <c r="B6048" s="33"/>
      <c r="G6048" s="33"/>
    </row>
    <row r="6049" spans="1:7" ht="15.75">
      <c r="A6049" s="33"/>
      <c r="B6049" s="33"/>
      <c r="G6049" s="33"/>
    </row>
    <row r="6050" spans="1:7" ht="15.75">
      <c r="A6050" s="33"/>
      <c r="B6050" s="33"/>
      <c r="G6050" s="33"/>
    </row>
    <row r="6051" spans="1:7" ht="15.75">
      <c r="A6051" s="33"/>
      <c r="B6051" s="33"/>
      <c r="G6051" s="33"/>
    </row>
    <row r="6052" spans="1:7" ht="15.75">
      <c r="A6052" s="33"/>
      <c r="B6052" s="33"/>
      <c r="G6052" s="33"/>
    </row>
    <row r="6053" spans="1:7" ht="15.75">
      <c r="A6053" s="33"/>
      <c r="B6053" s="33"/>
      <c r="G6053" s="33"/>
    </row>
    <row r="6054" spans="1:7" ht="15.75">
      <c r="A6054" s="33"/>
      <c r="B6054" s="33"/>
      <c r="G6054" s="33"/>
    </row>
    <row r="6055" spans="1:7" ht="15.75">
      <c r="A6055" s="33"/>
      <c r="B6055" s="33"/>
      <c r="G6055" s="33"/>
    </row>
    <row r="6056" spans="1:7" ht="15.75">
      <c r="A6056" s="33"/>
      <c r="B6056" s="33"/>
      <c r="G6056" s="33"/>
    </row>
    <row r="6057" spans="1:7" ht="15.75">
      <c r="A6057" s="33"/>
      <c r="B6057" s="33"/>
      <c r="G6057" s="33"/>
    </row>
    <row r="6058" spans="1:7" ht="15.75">
      <c r="A6058" s="33"/>
      <c r="B6058" s="33"/>
      <c r="G6058" s="33"/>
    </row>
    <row r="6059" spans="1:7" ht="15.75">
      <c r="A6059" s="33"/>
      <c r="B6059" s="33"/>
      <c r="G6059" s="33"/>
    </row>
    <row r="6060" spans="1:7" ht="15.75">
      <c r="A6060" s="33"/>
      <c r="B6060" s="33"/>
      <c r="G6060" s="33"/>
    </row>
    <row r="6061" spans="1:7" ht="15.75">
      <c r="A6061" s="33"/>
      <c r="B6061" s="33"/>
      <c r="G6061" s="33"/>
    </row>
    <row r="6062" spans="1:7" ht="15.75">
      <c r="A6062" s="33"/>
      <c r="B6062" s="33"/>
      <c r="G6062" s="33"/>
    </row>
    <row r="6063" spans="1:7" ht="15.75">
      <c r="A6063" s="33"/>
      <c r="B6063" s="33"/>
      <c r="G6063" s="33"/>
    </row>
    <row r="6064" spans="1:7" ht="15.75">
      <c r="A6064" s="33"/>
      <c r="B6064" s="33"/>
      <c r="G6064" s="33"/>
    </row>
    <row r="6065" spans="1:7" ht="15.75">
      <c r="A6065" s="33"/>
      <c r="B6065" s="33"/>
      <c r="G6065" s="33"/>
    </row>
    <row r="6066" spans="1:7" ht="15.75">
      <c r="A6066" s="33"/>
      <c r="B6066" s="33"/>
      <c r="G6066" s="33"/>
    </row>
    <row r="6067" spans="1:7" ht="15.75">
      <c r="A6067" s="33"/>
      <c r="B6067" s="33"/>
      <c r="G6067" s="33"/>
    </row>
    <row r="6068" spans="1:7" ht="15.75">
      <c r="A6068" s="33"/>
      <c r="B6068" s="33"/>
      <c r="G6068" s="33"/>
    </row>
    <row r="6069" spans="1:7" ht="15.75">
      <c r="A6069" s="33"/>
      <c r="B6069" s="33"/>
      <c r="G6069" s="33"/>
    </row>
    <row r="6070" spans="1:7" ht="15.75">
      <c r="A6070" s="33"/>
      <c r="B6070" s="33"/>
      <c r="G6070" s="33"/>
    </row>
    <row r="6071" spans="1:7" ht="15.75">
      <c r="A6071" s="33"/>
      <c r="B6071" s="33"/>
      <c r="G6071" s="33"/>
    </row>
    <row r="6072" spans="1:7" ht="15.75">
      <c r="A6072" s="33"/>
      <c r="B6072" s="33"/>
      <c r="G6072" s="33"/>
    </row>
    <row r="6073" spans="1:7" ht="15.75">
      <c r="A6073" s="33"/>
      <c r="B6073" s="33"/>
      <c r="G6073" s="33"/>
    </row>
    <row r="6074" spans="1:7" ht="15.75">
      <c r="A6074" s="33"/>
      <c r="B6074" s="33"/>
      <c r="G6074" s="33"/>
    </row>
    <row r="6075" spans="1:7" ht="15.75">
      <c r="A6075" s="33"/>
      <c r="B6075" s="33"/>
      <c r="G6075" s="33"/>
    </row>
    <row r="6076" spans="1:7" ht="15.75">
      <c r="A6076" s="33"/>
      <c r="B6076" s="33"/>
      <c r="G6076" s="33"/>
    </row>
    <row r="6077" spans="1:7" ht="15.75">
      <c r="A6077" s="33"/>
      <c r="B6077" s="33"/>
      <c r="G6077" s="33"/>
    </row>
    <row r="6078" spans="1:7" ht="15.75">
      <c r="A6078" s="33"/>
      <c r="B6078" s="33"/>
      <c r="G6078" s="33"/>
    </row>
    <row r="6079" spans="1:7" ht="15.75">
      <c r="A6079" s="33"/>
      <c r="B6079" s="33"/>
      <c r="G6079" s="33"/>
    </row>
    <row r="6080" spans="1:7" ht="15.75">
      <c r="A6080" s="33"/>
      <c r="B6080" s="33"/>
      <c r="G6080" s="33"/>
    </row>
    <row r="6081" spans="1:7" ht="15.75">
      <c r="A6081" s="33"/>
      <c r="B6081" s="33"/>
      <c r="G6081" s="33"/>
    </row>
    <row r="6082" spans="1:7" ht="15.75">
      <c r="A6082" s="33"/>
      <c r="B6082" s="33"/>
      <c r="G6082" s="33"/>
    </row>
    <row r="6083" spans="1:7" ht="15.75">
      <c r="A6083" s="33"/>
      <c r="B6083" s="33"/>
      <c r="G6083" s="33"/>
    </row>
    <row r="6084" spans="1:7" ht="15.75">
      <c r="A6084" s="33"/>
      <c r="B6084" s="33"/>
      <c r="G6084" s="33"/>
    </row>
    <row r="6085" spans="1:7" ht="15.75">
      <c r="A6085" s="33"/>
      <c r="B6085" s="33"/>
      <c r="G6085" s="33"/>
    </row>
    <row r="6086" spans="1:7" ht="15.75">
      <c r="A6086" s="33"/>
      <c r="B6086" s="33"/>
      <c r="G6086" s="33"/>
    </row>
    <row r="6087" spans="1:7" ht="15.75">
      <c r="A6087" s="33"/>
      <c r="B6087" s="33"/>
      <c r="G6087" s="33"/>
    </row>
    <row r="6088" spans="1:7" ht="15.75">
      <c r="A6088" s="33"/>
      <c r="B6088" s="33"/>
      <c r="G6088" s="33"/>
    </row>
    <row r="6089" spans="1:7" ht="15.75">
      <c r="A6089" s="33"/>
      <c r="B6089" s="33"/>
      <c r="G6089" s="33"/>
    </row>
    <row r="6090" spans="1:7" ht="15.75">
      <c r="A6090" s="33"/>
      <c r="B6090" s="33"/>
      <c r="G6090" s="33"/>
    </row>
    <row r="6091" spans="1:7" ht="15.75">
      <c r="A6091" s="33"/>
      <c r="B6091" s="33"/>
      <c r="G6091" s="33"/>
    </row>
    <row r="6092" spans="1:7" ht="15.75">
      <c r="A6092" s="33"/>
      <c r="B6092" s="33"/>
      <c r="G6092" s="33"/>
    </row>
    <row r="6093" spans="1:7" ht="15.75">
      <c r="A6093" s="33"/>
      <c r="B6093" s="33"/>
      <c r="G6093" s="33"/>
    </row>
    <row r="6094" spans="1:7" ht="15.75">
      <c r="A6094" s="33"/>
      <c r="B6094" s="33"/>
      <c r="G6094" s="33"/>
    </row>
    <row r="6095" spans="1:7" ht="15.75">
      <c r="A6095" s="33"/>
      <c r="B6095" s="33"/>
      <c r="G6095" s="33"/>
    </row>
    <row r="6096" spans="1:7" ht="15.75">
      <c r="A6096" s="33"/>
      <c r="B6096" s="33"/>
      <c r="G6096" s="33"/>
    </row>
    <row r="6097" spans="1:7" ht="15.75">
      <c r="A6097" s="33"/>
      <c r="B6097" s="33"/>
      <c r="G6097" s="33"/>
    </row>
    <row r="6098" spans="1:7" ht="15.75">
      <c r="A6098" s="33"/>
      <c r="B6098" s="33"/>
      <c r="G6098" s="33"/>
    </row>
    <row r="6099" spans="1:7" ht="15.75">
      <c r="A6099" s="33"/>
      <c r="B6099" s="33"/>
      <c r="G6099" s="33"/>
    </row>
    <row r="6100" spans="1:7" ht="15.75">
      <c r="A6100" s="33"/>
      <c r="B6100" s="33"/>
      <c r="G6100" s="33"/>
    </row>
    <row r="6101" spans="1:7" ht="15.75">
      <c r="A6101" s="33"/>
      <c r="B6101" s="33"/>
      <c r="G6101" s="33"/>
    </row>
    <row r="6102" spans="1:7" ht="15.75">
      <c r="A6102" s="33"/>
      <c r="B6102" s="33"/>
      <c r="G6102" s="33"/>
    </row>
    <row r="6103" spans="1:7" ht="15.75">
      <c r="A6103" s="33"/>
      <c r="B6103" s="33"/>
      <c r="G6103" s="33"/>
    </row>
    <row r="6104" spans="1:7" ht="15.75">
      <c r="A6104" s="33"/>
      <c r="B6104" s="33"/>
      <c r="G6104" s="33"/>
    </row>
    <row r="6105" spans="1:7" ht="15.75">
      <c r="A6105" s="33"/>
      <c r="B6105" s="33"/>
      <c r="G6105" s="33"/>
    </row>
    <row r="6106" spans="1:7" ht="15.75">
      <c r="A6106" s="33"/>
      <c r="B6106" s="33"/>
      <c r="G6106" s="33"/>
    </row>
    <row r="6107" spans="1:7" ht="15.75">
      <c r="A6107" s="33"/>
      <c r="B6107" s="33"/>
      <c r="G6107" s="33"/>
    </row>
    <row r="6108" spans="1:7" ht="15.75">
      <c r="A6108" s="33"/>
      <c r="B6108" s="33"/>
      <c r="G6108" s="33"/>
    </row>
    <row r="6109" spans="1:7" ht="15.75">
      <c r="A6109" s="33"/>
      <c r="B6109" s="33"/>
      <c r="G6109" s="33"/>
    </row>
    <row r="6110" spans="1:7" ht="15.75">
      <c r="A6110" s="33"/>
      <c r="B6110" s="33"/>
      <c r="G6110" s="33"/>
    </row>
    <row r="6111" spans="1:7" ht="15.75">
      <c r="A6111" s="33"/>
      <c r="B6111" s="33"/>
      <c r="G6111" s="33"/>
    </row>
    <row r="6112" spans="1:7" ht="15.75">
      <c r="A6112" s="33"/>
      <c r="B6112" s="33"/>
      <c r="G6112" s="33"/>
    </row>
    <row r="6113" spans="1:7" ht="15.75">
      <c r="A6113" s="33"/>
      <c r="B6113" s="33"/>
      <c r="G6113" s="33"/>
    </row>
    <row r="6114" spans="1:7" ht="15.75">
      <c r="A6114" s="33"/>
      <c r="B6114" s="33"/>
      <c r="G6114" s="33"/>
    </row>
    <row r="6115" spans="1:7" ht="15.75">
      <c r="A6115" s="33"/>
      <c r="B6115" s="33"/>
      <c r="G6115" s="33"/>
    </row>
    <row r="6116" spans="1:7" ht="15.75">
      <c r="A6116" s="33"/>
      <c r="B6116" s="33"/>
      <c r="G6116" s="33"/>
    </row>
    <row r="6117" spans="1:7" ht="15.75">
      <c r="A6117" s="33"/>
      <c r="B6117" s="33"/>
      <c r="G6117" s="33"/>
    </row>
    <row r="6118" spans="1:7" ht="15.75">
      <c r="A6118" s="33"/>
      <c r="B6118" s="33"/>
      <c r="G6118" s="33"/>
    </row>
    <row r="6119" spans="1:7" ht="15.75">
      <c r="A6119" s="33"/>
      <c r="B6119" s="33"/>
      <c r="G6119" s="33"/>
    </row>
    <row r="6120" spans="1:7" ht="15.75">
      <c r="A6120" s="33"/>
      <c r="B6120" s="33"/>
      <c r="G6120" s="33"/>
    </row>
    <row r="6121" spans="1:7" ht="15.75">
      <c r="A6121" s="33"/>
      <c r="B6121" s="33"/>
      <c r="G6121" s="33"/>
    </row>
    <row r="6122" spans="1:7" ht="15.75">
      <c r="A6122" s="33"/>
      <c r="B6122" s="33"/>
      <c r="G6122" s="33"/>
    </row>
    <row r="6123" spans="1:7" ht="15.75">
      <c r="A6123" s="33"/>
      <c r="B6123" s="33"/>
      <c r="G6123" s="33"/>
    </row>
    <row r="6124" spans="1:7" ht="15.75">
      <c r="A6124" s="33"/>
      <c r="B6124" s="33"/>
      <c r="G6124" s="33"/>
    </row>
    <row r="6125" spans="1:7" ht="15.75">
      <c r="A6125" s="33"/>
      <c r="B6125" s="33"/>
      <c r="G6125" s="33"/>
    </row>
    <row r="6126" spans="1:7" ht="15.75">
      <c r="A6126" s="33"/>
      <c r="B6126" s="33"/>
      <c r="G6126" s="33"/>
    </row>
    <row r="6127" spans="1:7" ht="15.75">
      <c r="A6127" s="33"/>
      <c r="B6127" s="33"/>
      <c r="G6127" s="33"/>
    </row>
    <row r="6128" spans="1:7" ht="15.75">
      <c r="A6128" s="33"/>
      <c r="B6128" s="33"/>
      <c r="G6128" s="33"/>
    </row>
    <row r="6129" spans="1:7" ht="15.75">
      <c r="A6129" s="33"/>
      <c r="B6129" s="33"/>
      <c r="G6129" s="33"/>
    </row>
    <row r="6130" spans="1:7" ht="15.75">
      <c r="A6130" s="33"/>
      <c r="B6130" s="33"/>
      <c r="G6130" s="33"/>
    </row>
    <row r="6131" spans="1:7" ht="15.75">
      <c r="A6131" s="33"/>
      <c r="B6131" s="33"/>
      <c r="G6131" s="33"/>
    </row>
    <row r="6132" spans="1:7" ht="15.75">
      <c r="A6132" s="33"/>
      <c r="B6132" s="33"/>
      <c r="G6132" s="33"/>
    </row>
    <row r="6133" spans="1:7" ht="15.75">
      <c r="A6133" s="33"/>
      <c r="B6133" s="33"/>
      <c r="G6133" s="33"/>
    </row>
    <row r="6134" spans="1:7" ht="15.75">
      <c r="A6134" s="33"/>
      <c r="B6134" s="33"/>
      <c r="G6134" s="33"/>
    </row>
    <row r="6135" spans="1:7" ht="15.75">
      <c r="A6135" s="33"/>
      <c r="B6135" s="33"/>
      <c r="G6135" s="33"/>
    </row>
    <row r="6136" spans="1:7" ht="15.75">
      <c r="A6136" s="33"/>
      <c r="B6136" s="33"/>
      <c r="G6136" s="33"/>
    </row>
    <row r="6137" spans="1:7" ht="15.75">
      <c r="A6137" s="33"/>
      <c r="B6137" s="33"/>
      <c r="G6137" s="33"/>
    </row>
    <row r="6138" spans="1:7" ht="15.75">
      <c r="A6138" s="33"/>
      <c r="B6138" s="33"/>
      <c r="G6138" s="33"/>
    </row>
    <row r="6139" spans="1:7" ht="15.75">
      <c r="A6139" s="33"/>
      <c r="B6139" s="33"/>
      <c r="G6139" s="33"/>
    </row>
    <row r="6140" spans="1:7" ht="15.75">
      <c r="A6140" s="33"/>
      <c r="B6140" s="33"/>
      <c r="G6140" s="33"/>
    </row>
    <row r="6141" spans="1:7" ht="15.75">
      <c r="A6141" s="33"/>
      <c r="B6141" s="33"/>
      <c r="G6141" s="33"/>
    </row>
    <row r="6142" spans="1:7" ht="15.75">
      <c r="A6142" s="33"/>
      <c r="B6142" s="33"/>
      <c r="G6142" s="33"/>
    </row>
    <row r="6143" spans="1:7" ht="15.75">
      <c r="A6143" s="33"/>
      <c r="B6143" s="33"/>
      <c r="G6143" s="33"/>
    </row>
    <row r="6144" spans="1:7" ht="15.75">
      <c r="A6144" s="33"/>
      <c r="B6144" s="33"/>
      <c r="G6144" s="33"/>
    </row>
    <row r="6145" spans="1:7" ht="15.75">
      <c r="A6145" s="33"/>
      <c r="B6145" s="33"/>
      <c r="G6145" s="33"/>
    </row>
    <row r="6146" spans="1:7" ht="15.75">
      <c r="A6146" s="33"/>
      <c r="B6146" s="33"/>
      <c r="G6146" s="33"/>
    </row>
    <row r="6147" spans="1:7" ht="15.75">
      <c r="A6147" s="33"/>
      <c r="B6147" s="33"/>
      <c r="G6147" s="33"/>
    </row>
    <row r="6148" spans="1:7" ht="15.75">
      <c r="A6148" s="33"/>
      <c r="B6148" s="33"/>
      <c r="G6148" s="33"/>
    </row>
    <row r="6149" spans="1:7" ht="15.75">
      <c r="A6149" s="33"/>
      <c r="B6149" s="33"/>
      <c r="G6149" s="33"/>
    </row>
    <row r="6150" spans="1:7" ht="15.75">
      <c r="A6150" s="33"/>
      <c r="B6150" s="33"/>
      <c r="G6150" s="33"/>
    </row>
    <row r="6151" spans="1:7" ht="15.75">
      <c r="A6151" s="33"/>
      <c r="B6151" s="33"/>
      <c r="G6151" s="33"/>
    </row>
    <row r="6152" spans="1:7" ht="15.75">
      <c r="A6152" s="33"/>
      <c r="B6152" s="33"/>
      <c r="G6152" s="33"/>
    </row>
    <row r="6153" spans="1:7" ht="15.75">
      <c r="A6153" s="33"/>
      <c r="B6153" s="33"/>
      <c r="G6153" s="33"/>
    </row>
    <row r="6154" spans="1:7" ht="15.75">
      <c r="A6154" s="33"/>
      <c r="B6154" s="33"/>
      <c r="G6154" s="33"/>
    </row>
    <row r="6155" spans="1:7" ht="15.75">
      <c r="A6155" s="33"/>
      <c r="B6155" s="33"/>
      <c r="G6155" s="33"/>
    </row>
    <row r="6156" spans="1:7" ht="15.75">
      <c r="A6156" s="33"/>
      <c r="B6156" s="33"/>
      <c r="G6156" s="33"/>
    </row>
    <row r="6157" spans="1:7" ht="15.75">
      <c r="A6157" s="33"/>
      <c r="B6157" s="33"/>
      <c r="G6157" s="33"/>
    </row>
    <row r="6158" spans="1:7" ht="15.75">
      <c r="A6158" s="33"/>
      <c r="B6158" s="33"/>
      <c r="G6158" s="33"/>
    </row>
    <row r="6159" spans="1:7" ht="15.75">
      <c r="A6159" s="33"/>
      <c r="B6159" s="33"/>
      <c r="G6159" s="33"/>
    </row>
    <row r="6160" spans="1:7" ht="15.75">
      <c r="A6160" s="33"/>
      <c r="B6160" s="33"/>
      <c r="G6160" s="33"/>
    </row>
    <row r="6161" spans="1:7" ht="15.75">
      <c r="A6161" s="33"/>
      <c r="B6161" s="33"/>
      <c r="G6161" s="33"/>
    </row>
    <row r="6162" spans="1:7" ht="15.75">
      <c r="A6162" s="33"/>
      <c r="B6162" s="33"/>
      <c r="G6162" s="33"/>
    </row>
    <row r="6163" spans="1:7" ht="15.75">
      <c r="A6163" s="33"/>
      <c r="B6163" s="33"/>
      <c r="G6163" s="33"/>
    </row>
    <row r="6164" spans="1:7" ht="15.75">
      <c r="A6164" s="33"/>
      <c r="B6164" s="33"/>
      <c r="G6164" s="33"/>
    </row>
    <row r="6165" spans="1:7" ht="15.75">
      <c r="A6165" s="33"/>
      <c r="B6165" s="33"/>
      <c r="G6165" s="33"/>
    </row>
    <row r="6166" spans="1:7" ht="15.75">
      <c r="A6166" s="33"/>
      <c r="B6166" s="33"/>
      <c r="G6166" s="33"/>
    </row>
    <row r="6167" spans="1:7" ht="15.75">
      <c r="A6167" s="33"/>
      <c r="B6167" s="33"/>
      <c r="G6167" s="33"/>
    </row>
    <row r="6168" spans="1:7" ht="15.75">
      <c r="A6168" s="33"/>
      <c r="B6168" s="33"/>
      <c r="G6168" s="33"/>
    </row>
    <row r="6169" spans="1:7" ht="15.75">
      <c r="A6169" s="33"/>
      <c r="B6169" s="33"/>
      <c r="G6169" s="33"/>
    </row>
    <row r="6170" spans="1:7" ht="15.75">
      <c r="A6170" s="33"/>
      <c r="B6170" s="33"/>
      <c r="G6170" s="33"/>
    </row>
    <row r="6171" spans="1:7" ht="15.75">
      <c r="A6171" s="33"/>
      <c r="B6171" s="33"/>
      <c r="G6171" s="33"/>
    </row>
    <row r="6172" spans="1:7" ht="15.75">
      <c r="A6172" s="33"/>
      <c r="B6172" s="33"/>
      <c r="G6172" s="33"/>
    </row>
    <row r="6173" spans="1:7" ht="15.75">
      <c r="A6173" s="33"/>
      <c r="B6173" s="33"/>
      <c r="G6173" s="33"/>
    </row>
    <row r="6174" spans="1:7" ht="15.75">
      <c r="A6174" s="33"/>
      <c r="B6174" s="33"/>
      <c r="G6174" s="33"/>
    </row>
    <row r="6175" spans="1:7" ht="15.75">
      <c r="A6175" s="33"/>
      <c r="B6175" s="33"/>
      <c r="G6175" s="33"/>
    </row>
    <row r="6176" spans="1:7" ht="15.75">
      <c r="A6176" s="33"/>
      <c r="B6176" s="33"/>
      <c r="G6176" s="33"/>
    </row>
    <row r="6177" spans="1:7" ht="15.75">
      <c r="A6177" s="33"/>
      <c r="B6177" s="33"/>
      <c r="G6177" s="33"/>
    </row>
    <row r="6178" spans="1:7" ht="15.75">
      <c r="A6178" s="33"/>
      <c r="B6178" s="33"/>
      <c r="G6178" s="33"/>
    </row>
    <row r="6179" spans="1:7" ht="15.75">
      <c r="A6179" s="33"/>
      <c r="B6179" s="33"/>
      <c r="G6179" s="33"/>
    </row>
    <row r="6180" spans="1:7" ht="15.75">
      <c r="A6180" s="33"/>
      <c r="B6180" s="33"/>
      <c r="G6180" s="33"/>
    </row>
    <row r="6181" spans="1:7" ht="15.75">
      <c r="A6181" s="33"/>
      <c r="B6181" s="33"/>
      <c r="G6181" s="33"/>
    </row>
    <row r="6182" spans="1:7" ht="15.75">
      <c r="A6182" s="33"/>
      <c r="B6182" s="33"/>
      <c r="G6182" s="33"/>
    </row>
    <row r="6183" spans="1:7" ht="15.75">
      <c r="A6183" s="33"/>
      <c r="B6183" s="33"/>
      <c r="G6183" s="33"/>
    </row>
    <row r="6184" spans="1:7" ht="15.75">
      <c r="A6184" s="33"/>
      <c r="B6184" s="33"/>
      <c r="G6184" s="33"/>
    </row>
    <row r="6185" spans="1:7" ht="15.75">
      <c r="A6185" s="33"/>
      <c r="B6185" s="33"/>
      <c r="G6185" s="33"/>
    </row>
    <row r="6186" spans="1:7" ht="15.75">
      <c r="A6186" s="33"/>
      <c r="B6186" s="33"/>
      <c r="G6186" s="33"/>
    </row>
    <row r="6187" spans="1:7" ht="15.75">
      <c r="A6187" s="33"/>
      <c r="B6187" s="33"/>
      <c r="G6187" s="33"/>
    </row>
    <row r="6188" spans="1:7" ht="15.75">
      <c r="A6188" s="33"/>
      <c r="B6188" s="33"/>
      <c r="G6188" s="33"/>
    </row>
    <row r="6189" spans="1:7" ht="15.75">
      <c r="A6189" s="33"/>
      <c r="B6189" s="33"/>
      <c r="G6189" s="33"/>
    </row>
    <row r="6190" spans="1:7" ht="15.75">
      <c r="A6190" s="33"/>
      <c r="B6190" s="33"/>
      <c r="G6190" s="33"/>
    </row>
    <row r="6191" spans="1:7" ht="15.75">
      <c r="A6191" s="33"/>
      <c r="B6191" s="33"/>
      <c r="G6191" s="33"/>
    </row>
    <row r="6192" spans="1:7" ht="15.75">
      <c r="A6192" s="33"/>
      <c r="B6192" s="33"/>
      <c r="G6192" s="33"/>
    </row>
    <row r="6193" spans="1:7" ht="15.75">
      <c r="A6193" s="33"/>
      <c r="B6193" s="33"/>
      <c r="G6193" s="33"/>
    </row>
    <row r="6194" spans="1:7" ht="15.75">
      <c r="A6194" s="33"/>
      <c r="B6194" s="33"/>
      <c r="G6194" s="33"/>
    </row>
    <row r="6195" spans="1:7" ht="15.75">
      <c r="A6195" s="33"/>
      <c r="B6195" s="33"/>
      <c r="G6195" s="33"/>
    </row>
    <row r="6196" spans="1:7" ht="15.75">
      <c r="A6196" s="33"/>
      <c r="B6196" s="33"/>
      <c r="G6196" s="33"/>
    </row>
    <row r="6197" spans="1:7" ht="15.75">
      <c r="A6197" s="33"/>
      <c r="B6197" s="33"/>
      <c r="G6197" s="33"/>
    </row>
    <row r="6198" spans="1:7" ht="15.75">
      <c r="A6198" s="33"/>
      <c r="B6198" s="33"/>
      <c r="G6198" s="33"/>
    </row>
    <row r="6199" spans="1:7" ht="15.75">
      <c r="A6199" s="33"/>
      <c r="B6199" s="33"/>
      <c r="G6199" s="33"/>
    </row>
    <row r="6200" spans="1:7" ht="15.75">
      <c r="A6200" s="33"/>
      <c r="B6200" s="33"/>
      <c r="G6200" s="33"/>
    </row>
    <row r="6201" spans="1:7" ht="15.75">
      <c r="A6201" s="33"/>
      <c r="B6201" s="33"/>
      <c r="G6201" s="33"/>
    </row>
    <row r="6202" spans="1:7" ht="15.75">
      <c r="A6202" s="33"/>
      <c r="B6202" s="33"/>
      <c r="G6202" s="33"/>
    </row>
    <row r="6203" spans="1:7" ht="15.75">
      <c r="A6203" s="33"/>
      <c r="B6203" s="33"/>
      <c r="G6203" s="33"/>
    </row>
    <row r="6204" spans="1:7" ht="15.75">
      <c r="A6204" s="33"/>
      <c r="B6204" s="33"/>
      <c r="G6204" s="33"/>
    </row>
    <row r="6205" spans="1:7" ht="15.75">
      <c r="A6205" s="33"/>
      <c r="B6205" s="33"/>
      <c r="G6205" s="33"/>
    </row>
    <row r="6206" spans="1:7" ht="15.75">
      <c r="A6206" s="33"/>
      <c r="B6206" s="33"/>
      <c r="G6206" s="33"/>
    </row>
    <row r="6207" spans="1:7" ht="15.75">
      <c r="A6207" s="33"/>
      <c r="B6207" s="33"/>
      <c r="G6207" s="33"/>
    </row>
    <row r="6208" spans="1:7" ht="15.75">
      <c r="A6208" s="33"/>
      <c r="B6208" s="33"/>
      <c r="G6208" s="33"/>
    </row>
    <row r="6209" spans="1:7" ht="15.75">
      <c r="A6209" s="33"/>
      <c r="B6209" s="33"/>
      <c r="G6209" s="33"/>
    </row>
    <row r="6210" spans="1:7" ht="15.75">
      <c r="A6210" s="33"/>
      <c r="B6210" s="33"/>
      <c r="G6210" s="33"/>
    </row>
    <row r="6211" spans="1:7" ht="15.75">
      <c r="A6211" s="33"/>
      <c r="B6211" s="33"/>
      <c r="G6211" s="33"/>
    </row>
    <row r="6212" spans="1:7" ht="15.75">
      <c r="A6212" s="33"/>
      <c r="B6212" s="33"/>
      <c r="G6212" s="33"/>
    </row>
    <row r="6213" spans="1:7" ht="15.75">
      <c r="A6213" s="33"/>
      <c r="B6213" s="33"/>
      <c r="G6213" s="33"/>
    </row>
    <row r="6214" spans="1:7" ht="15.75">
      <c r="A6214" s="33"/>
      <c r="B6214" s="33"/>
      <c r="G6214" s="33"/>
    </row>
    <row r="6215" spans="1:7" ht="15.75">
      <c r="A6215" s="33"/>
      <c r="B6215" s="33"/>
      <c r="G6215" s="33"/>
    </row>
    <row r="6216" spans="1:7" ht="15.75">
      <c r="A6216" s="33"/>
      <c r="B6216" s="33"/>
      <c r="G6216" s="33"/>
    </row>
    <row r="6217" spans="1:7" ht="15.75">
      <c r="A6217" s="33"/>
      <c r="B6217" s="33"/>
      <c r="G6217" s="33"/>
    </row>
    <row r="6218" spans="1:7" ht="15.75">
      <c r="A6218" s="33"/>
      <c r="B6218" s="33"/>
      <c r="G6218" s="33"/>
    </row>
    <row r="6219" spans="1:7" ht="15.75">
      <c r="A6219" s="33"/>
      <c r="B6219" s="33"/>
      <c r="G6219" s="33"/>
    </row>
    <row r="6220" spans="1:7" ht="15.75">
      <c r="A6220" s="33"/>
      <c r="B6220" s="33"/>
      <c r="G6220" s="33"/>
    </row>
    <row r="6221" spans="1:7" ht="15.75">
      <c r="A6221" s="33"/>
      <c r="B6221" s="33"/>
      <c r="G6221" s="33"/>
    </row>
    <row r="6222" spans="1:7" ht="15.75">
      <c r="A6222" s="33"/>
      <c r="B6222" s="33"/>
      <c r="G6222" s="33"/>
    </row>
    <row r="6223" spans="1:7" ht="15.75">
      <c r="A6223" s="33"/>
      <c r="B6223" s="33"/>
      <c r="G6223" s="33"/>
    </row>
    <row r="6224" spans="1:7" ht="15.75">
      <c r="A6224" s="33"/>
      <c r="B6224" s="33"/>
      <c r="G6224" s="33"/>
    </row>
    <row r="6225" spans="1:7" ht="15.75">
      <c r="A6225" s="33"/>
      <c r="B6225" s="33"/>
      <c r="G6225" s="33"/>
    </row>
    <row r="6226" spans="1:7" ht="15.75">
      <c r="A6226" s="33"/>
      <c r="B6226" s="33"/>
      <c r="G6226" s="33"/>
    </row>
    <row r="6227" spans="1:7" ht="15.75">
      <c r="A6227" s="33"/>
      <c r="B6227" s="33"/>
      <c r="G6227" s="33"/>
    </row>
    <row r="6228" spans="1:7" ht="15.75">
      <c r="A6228" s="33"/>
      <c r="B6228" s="33"/>
      <c r="G6228" s="33"/>
    </row>
    <row r="6229" spans="1:7" ht="15.75">
      <c r="A6229" s="33"/>
      <c r="B6229" s="33"/>
      <c r="G6229" s="33"/>
    </row>
    <row r="6230" spans="1:7" ht="15.75">
      <c r="A6230" s="33"/>
      <c r="B6230" s="33"/>
      <c r="G6230" s="33"/>
    </row>
    <row r="6231" spans="1:7" ht="15.75">
      <c r="A6231" s="33"/>
      <c r="B6231" s="33"/>
      <c r="G6231" s="33"/>
    </row>
    <row r="6232" spans="1:7" ht="15.75">
      <c r="A6232" s="33"/>
      <c r="B6232" s="33"/>
      <c r="G6232" s="33"/>
    </row>
    <row r="6233" spans="1:7" ht="15.75">
      <c r="A6233" s="33"/>
      <c r="B6233" s="33"/>
      <c r="G6233" s="33"/>
    </row>
    <row r="6234" spans="1:7" ht="15.75">
      <c r="A6234" s="33"/>
      <c r="B6234" s="33"/>
      <c r="G6234" s="33"/>
    </row>
    <row r="6235" spans="1:7" ht="15.75">
      <c r="A6235" s="33"/>
      <c r="B6235" s="33"/>
      <c r="G6235" s="33"/>
    </row>
    <row r="6236" spans="1:7" ht="15.75">
      <c r="A6236" s="33"/>
      <c r="B6236" s="33"/>
      <c r="G6236" s="33"/>
    </row>
    <row r="6237" spans="1:7" ht="15.75">
      <c r="A6237" s="33"/>
      <c r="B6237" s="33"/>
      <c r="G6237" s="33"/>
    </row>
    <row r="6238" spans="1:7" ht="15.75">
      <c r="A6238" s="33"/>
      <c r="B6238" s="33"/>
      <c r="G6238" s="33"/>
    </row>
    <row r="6239" spans="1:7" ht="15.75">
      <c r="A6239" s="33"/>
      <c r="B6239" s="33"/>
      <c r="G6239" s="33"/>
    </row>
    <row r="6240" spans="1:7" ht="15.75">
      <c r="A6240" s="33"/>
      <c r="B6240" s="33"/>
      <c r="G6240" s="33"/>
    </row>
    <row r="6241" spans="1:7" ht="15.75">
      <c r="A6241" s="33"/>
      <c r="B6241" s="33"/>
      <c r="G6241" s="33"/>
    </row>
    <row r="6242" spans="1:7" ht="15.75">
      <c r="A6242" s="33"/>
      <c r="B6242" s="33"/>
      <c r="G6242" s="33"/>
    </row>
    <row r="6243" spans="1:7" ht="15.75">
      <c r="A6243" s="33"/>
      <c r="B6243" s="33"/>
      <c r="G6243" s="33"/>
    </row>
    <row r="6244" spans="1:7" ht="15.75">
      <c r="A6244" s="33"/>
      <c r="B6244" s="33"/>
      <c r="G6244" s="33"/>
    </row>
    <row r="6245" spans="1:7" ht="15.75">
      <c r="A6245" s="33"/>
      <c r="B6245" s="33"/>
      <c r="G6245" s="33"/>
    </row>
    <row r="6246" spans="1:7" ht="15.75">
      <c r="A6246" s="33"/>
      <c r="B6246" s="33"/>
      <c r="G6246" s="33"/>
    </row>
    <row r="6247" spans="1:7" ht="15.75">
      <c r="A6247" s="33"/>
      <c r="B6247" s="33"/>
      <c r="G6247" s="33"/>
    </row>
    <row r="6248" spans="1:7" ht="15.75">
      <c r="A6248" s="33"/>
      <c r="B6248" s="33"/>
      <c r="G6248" s="33"/>
    </row>
    <row r="6249" spans="1:7" ht="15.75">
      <c r="A6249" s="33"/>
      <c r="B6249" s="33"/>
      <c r="G6249" s="33"/>
    </row>
    <row r="6250" spans="1:7" ht="15.75">
      <c r="A6250" s="33"/>
      <c r="B6250" s="33"/>
      <c r="G6250" s="33"/>
    </row>
    <row r="6251" spans="1:7" ht="15.75">
      <c r="A6251" s="33"/>
      <c r="B6251" s="33"/>
      <c r="G6251" s="33"/>
    </row>
    <row r="6252" spans="1:7" ht="15.75">
      <c r="A6252" s="33"/>
      <c r="B6252" s="33"/>
      <c r="G6252" s="33"/>
    </row>
    <row r="6253" spans="1:7" ht="15.75">
      <c r="A6253" s="33"/>
      <c r="B6253" s="33"/>
      <c r="G6253" s="33"/>
    </row>
    <row r="6254" spans="1:7" ht="15.75">
      <c r="A6254" s="33"/>
      <c r="B6254" s="33"/>
      <c r="G6254" s="33"/>
    </row>
    <row r="6255" spans="1:7" ht="15.75">
      <c r="A6255" s="33"/>
      <c r="B6255" s="33"/>
      <c r="G6255" s="33"/>
    </row>
    <row r="6256" spans="1:7" ht="15.75">
      <c r="A6256" s="33"/>
      <c r="B6256" s="33"/>
      <c r="G6256" s="33"/>
    </row>
    <row r="6257" spans="1:7" ht="15.75">
      <c r="A6257" s="33"/>
      <c r="B6257" s="33"/>
      <c r="G6257" s="33"/>
    </row>
    <row r="6258" spans="1:7" ht="15.75">
      <c r="A6258" s="33"/>
      <c r="B6258" s="33"/>
      <c r="G6258" s="33"/>
    </row>
    <row r="6259" spans="1:7" ht="15.75">
      <c r="A6259" s="33"/>
      <c r="B6259" s="33"/>
      <c r="G6259" s="33"/>
    </row>
    <row r="6260" spans="1:7" ht="15.75">
      <c r="A6260" s="33"/>
      <c r="B6260" s="33"/>
      <c r="G6260" s="33"/>
    </row>
    <row r="6261" spans="1:7" ht="15.75">
      <c r="A6261" s="33"/>
      <c r="B6261" s="33"/>
      <c r="G6261" s="33"/>
    </row>
    <row r="6262" spans="1:7" ht="15.75">
      <c r="A6262" s="33"/>
      <c r="B6262" s="33"/>
      <c r="G6262" s="33"/>
    </row>
    <row r="6263" spans="1:7" ht="15.75">
      <c r="A6263" s="33"/>
      <c r="B6263" s="33"/>
      <c r="G6263" s="33"/>
    </row>
    <row r="6264" spans="1:7" ht="15.75">
      <c r="A6264" s="33"/>
      <c r="B6264" s="33"/>
      <c r="G6264" s="33"/>
    </row>
    <row r="6265" spans="1:7" ht="15.75">
      <c r="A6265" s="33"/>
      <c r="B6265" s="33"/>
      <c r="G6265" s="33"/>
    </row>
    <row r="6266" spans="1:7" ht="15.75">
      <c r="A6266" s="33"/>
      <c r="B6266" s="33"/>
      <c r="G6266" s="33"/>
    </row>
    <row r="6267" spans="1:7" ht="15.75">
      <c r="A6267" s="33"/>
      <c r="B6267" s="33"/>
      <c r="G6267" s="33"/>
    </row>
    <row r="6268" spans="1:7" ht="15.75">
      <c r="A6268" s="33"/>
      <c r="B6268" s="33"/>
      <c r="G6268" s="33"/>
    </row>
    <row r="6269" spans="1:7" ht="15.75">
      <c r="A6269" s="33"/>
      <c r="B6269" s="33"/>
      <c r="G6269" s="33"/>
    </row>
    <row r="6270" spans="1:7" ht="15.75">
      <c r="A6270" s="33"/>
      <c r="B6270" s="33"/>
      <c r="G6270" s="33"/>
    </row>
    <row r="6271" spans="1:7" ht="15.75">
      <c r="A6271" s="33"/>
      <c r="B6271" s="33"/>
      <c r="G6271" s="33"/>
    </row>
    <row r="6272" spans="1:7" ht="15.75">
      <c r="A6272" s="33"/>
      <c r="B6272" s="33"/>
      <c r="G6272" s="33"/>
    </row>
    <row r="6273" spans="1:7" ht="15.75">
      <c r="A6273" s="33"/>
      <c r="B6273" s="33"/>
      <c r="G6273" s="33"/>
    </row>
    <row r="6274" spans="1:7" ht="15.75">
      <c r="A6274" s="33"/>
      <c r="B6274" s="33"/>
      <c r="G6274" s="33"/>
    </row>
    <row r="6275" spans="1:7" ht="15.75">
      <c r="A6275" s="33"/>
      <c r="B6275" s="33"/>
      <c r="G6275" s="33"/>
    </row>
    <row r="6276" spans="1:7" ht="15.75">
      <c r="A6276" s="33"/>
      <c r="B6276" s="33"/>
      <c r="G6276" s="33"/>
    </row>
    <row r="6277" spans="1:7" ht="15.75">
      <c r="A6277" s="33"/>
      <c r="B6277" s="33"/>
      <c r="G6277" s="33"/>
    </row>
    <row r="6278" spans="1:7" ht="15.75">
      <c r="A6278" s="33"/>
      <c r="B6278" s="33"/>
      <c r="G6278" s="33"/>
    </row>
    <row r="6279" spans="1:7" ht="15.75">
      <c r="A6279" s="33"/>
      <c r="B6279" s="33"/>
      <c r="G6279" s="33"/>
    </row>
    <row r="6280" spans="1:7" ht="15.75">
      <c r="A6280" s="33"/>
      <c r="B6280" s="33"/>
      <c r="G6280" s="33"/>
    </row>
    <row r="6281" spans="1:7" ht="15.75">
      <c r="A6281" s="33"/>
      <c r="B6281" s="33"/>
      <c r="G6281" s="33"/>
    </row>
    <row r="6282" spans="1:7" ht="15.75">
      <c r="A6282" s="33"/>
      <c r="B6282" s="33"/>
      <c r="G6282" s="33"/>
    </row>
    <row r="6283" spans="1:7" ht="15.75">
      <c r="A6283" s="33"/>
      <c r="B6283" s="33"/>
      <c r="G6283" s="33"/>
    </row>
    <row r="6284" spans="1:7" ht="15.75">
      <c r="A6284" s="33"/>
      <c r="B6284" s="33"/>
      <c r="G6284" s="33"/>
    </row>
    <row r="6285" spans="1:7" ht="15.75">
      <c r="A6285" s="33"/>
      <c r="B6285" s="33"/>
      <c r="G6285" s="33"/>
    </row>
    <row r="6286" spans="1:7" ht="15.75">
      <c r="A6286" s="33"/>
      <c r="B6286" s="33"/>
      <c r="G6286" s="33"/>
    </row>
    <row r="6287" spans="1:7" ht="15.75">
      <c r="A6287" s="33"/>
      <c r="B6287" s="33"/>
      <c r="G6287" s="33"/>
    </row>
    <row r="6288" spans="1:7" ht="15.75">
      <c r="A6288" s="33"/>
      <c r="B6288" s="33"/>
      <c r="G6288" s="33"/>
    </row>
    <row r="6289" spans="1:7" ht="15.75">
      <c r="A6289" s="33"/>
      <c r="B6289" s="33"/>
      <c r="G6289" s="33"/>
    </row>
    <row r="6290" spans="1:7" ht="15.75">
      <c r="A6290" s="33"/>
      <c r="B6290" s="33"/>
      <c r="G6290" s="33"/>
    </row>
    <row r="6291" spans="1:7" ht="15.75">
      <c r="A6291" s="33"/>
      <c r="B6291" s="33"/>
      <c r="G6291" s="33"/>
    </row>
    <row r="6292" spans="1:7" ht="15.75">
      <c r="A6292" s="33"/>
      <c r="B6292" s="33"/>
      <c r="G6292" s="33"/>
    </row>
    <row r="6293" spans="1:7" ht="15.75">
      <c r="A6293" s="33"/>
      <c r="B6293" s="33"/>
      <c r="G6293" s="33"/>
    </row>
    <row r="6294" spans="1:7" ht="15.75">
      <c r="A6294" s="33"/>
      <c r="B6294" s="33"/>
      <c r="G6294" s="33"/>
    </row>
    <row r="6295" spans="1:7" ht="15.75">
      <c r="A6295" s="33"/>
      <c r="B6295" s="33"/>
      <c r="G6295" s="33"/>
    </row>
    <row r="6296" spans="1:7" ht="15.75">
      <c r="A6296" s="33"/>
      <c r="B6296" s="33"/>
      <c r="G6296" s="33"/>
    </row>
    <row r="6297" spans="1:7" ht="15.75">
      <c r="A6297" s="33"/>
      <c r="B6297" s="33"/>
      <c r="G6297" s="33"/>
    </row>
    <row r="6298" spans="1:7" ht="15.75">
      <c r="A6298" s="33"/>
      <c r="B6298" s="33"/>
      <c r="G6298" s="33"/>
    </row>
    <row r="6299" spans="1:7" ht="15.75">
      <c r="A6299" s="33"/>
      <c r="B6299" s="33"/>
      <c r="G6299" s="33"/>
    </row>
    <row r="6300" spans="1:7" ht="15.75">
      <c r="A6300" s="33"/>
      <c r="B6300" s="33"/>
      <c r="G6300" s="33"/>
    </row>
    <row r="6301" spans="1:7" ht="15.75">
      <c r="A6301" s="33"/>
      <c r="B6301" s="33"/>
      <c r="G6301" s="33"/>
    </row>
    <row r="6302" spans="1:7" ht="15.75">
      <c r="A6302" s="33"/>
      <c r="B6302" s="33"/>
      <c r="G6302" s="33"/>
    </row>
    <row r="6303" spans="1:7" ht="15.75">
      <c r="A6303" s="33"/>
      <c r="B6303" s="33"/>
      <c r="G6303" s="33"/>
    </row>
    <row r="6304" spans="1:7" ht="15.75">
      <c r="A6304" s="33"/>
      <c r="B6304" s="33"/>
      <c r="G6304" s="33"/>
    </row>
    <row r="6305" spans="1:7" ht="15.75">
      <c r="A6305" s="33"/>
      <c r="B6305" s="33"/>
      <c r="G6305" s="33"/>
    </row>
    <row r="6306" spans="1:7" ht="15.75">
      <c r="A6306" s="33"/>
      <c r="B6306" s="33"/>
      <c r="G6306" s="33"/>
    </row>
    <row r="6307" spans="1:7" ht="15.75">
      <c r="A6307" s="33"/>
      <c r="B6307" s="33"/>
      <c r="G6307" s="33"/>
    </row>
    <row r="6308" spans="1:7" ht="15.75">
      <c r="A6308" s="33"/>
      <c r="B6308" s="33"/>
      <c r="G6308" s="33"/>
    </row>
    <row r="6309" spans="1:7" ht="15.75">
      <c r="A6309" s="33"/>
      <c r="B6309" s="33"/>
      <c r="G6309" s="33"/>
    </row>
    <row r="6310" spans="1:7" ht="15.75">
      <c r="A6310" s="33"/>
      <c r="B6310" s="33"/>
      <c r="G6310" s="33"/>
    </row>
    <row r="6311" spans="1:7" ht="15.75">
      <c r="A6311" s="33"/>
      <c r="B6311" s="33"/>
      <c r="G6311" s="33"/>
    </row>
    <row r="6312" spans="1:7" ht="15.75">
      <c r="A6312" s="33"/>
      <c r="B6312" s="33"/>
      <c r="G6312" s="33"/>
    </row>
    <row r="6313" spans="1:7" ht="15.75">
      <c r="A6313" s="33"/>
      <c r="B6313" s="33"/>
      <c r="G6313" s="33"/>
    </row>
    <row r="6314" spans="1:7" ht="15.75">
      <c r="A6314" s="33"/>
      <c r="B6314" s="33"/>
      <c r="G6314" s="33"/>
    </row>
    <row r="6315" spans="1:7" ht="15.75">
      <c r="A6315" s="33"/>
      <c r="B6315" s="33"/>
      <c r="G6315" s="33"/>
    </row>
    <row r="6316" spans="1:7" ht="15.75">
      <c r="A6316" s="33"/>
      <c r="B6316" s="33"/>
      <c r="G6316" s="33"/>
    </row>
    <row r="6317" spans="1:7" ht="15.75">
      <c r="A6317" s="33"/>
      <c r="B6317" s="33"/>
      <c r="G6317" s="33"/>
    </row>
    <row r="6318" spans="1:7" ht="15.75">
      <c r="A6318" s="33"/>
      <c r="B6318" s="33"/>
      <c r="G6318" s="33"/>
    </row>
    <row r="6319" spans="1:7" ht="15.75">
      <c r="A6319" s="33"/>
      <c r="B6319" s="33"/>
      <c r="G6319" s="33"/>
    </row>
    <row r="6320" spans="1:7" ht="15.75">
      <c r="A6320" s="33"/>
      <c r="B6320" s="33"/>
      <c r="G6320" s="33"/>
    </row>
    <row r="6321" spans="1:7" ht="15.75">
      <c r="A6321" s="33"/>
      <c r="B6321" s="33"/>
      <c r="G6321" s="33"/>
    </row>
    <row r="6322" spans="1:7" ht="15.75">
      <c r="A6322" s="33"/>
      <c r="B6322" s="33"/>
      <c r="G6322" s="33"/>
    </row>
    <row r="6323" spans="1:7" ht="15.75">
      <c r="A6323" s="33"/>
      <c r="B6323" s="33"/>
      <c r="G6323" s="33"/>
    </row>
    <row r="6324" spans="1:7" ht="15.75">
      <c r="A6324" s="33"/>
      <c r="B6324" s="33"/>
      <c r="G6324" s="33"/>
    </row>
    <row r="6325" spans="1:7" ht="15.75">
      <c r="A6325" s="33"/>
      <c r="B6325" s="33"/>
      <c r="G6325" s="33"/>
    </row>
    <row r="6326" spans="1:7" ht="15.75">
      <c r="A6326" s="33"/>
      <c r="B6326" s="33"/>
      <c r="G6326" s="33"/>
    </row>
    <row r="6327" spans="1:7" ht="15.75">
      <c r="A6327" s="33"/>
      <c r="B6327" s="33"/>
      <c r="G6327" s="33"/>
    </row>
    <row r="6328" spans="1:7" ht="15.75">
      <c r="A6328" s="33"/>
      <c r="B6328" s="33"/>
      <c r="G6328" s="33"/>
    </row>
    <row r="6329" spans="1:7" ht="15.75">
      <c r="A6329" s="33"/>
      <c r="B6329" s="33"/>
      <c r="G6329" s="33"/>
    </row>
    <row r="6330" spans="1:7" ht="15.75">
      <c r="A6330" s="33"/>
      <c r="B6330" s="33"/>
      <c r="G6330" s="33"/>
    </row>
    <row r="6331" spans="1:7" ht="15.75">
      <c r="A6331" s="33"/>
      <c r="B6331" s="33"/>
      <c r="G6331" s="33"/>
    </row>
    <row r="6332" spans="1:7" ht="15.75">
      <c r="A6332" s="33"/>
      <c r="B6332" s="33"/>
      <c r="G6332" s="33"/>
    </row>
    <row r="6333" spans="1:7" ht="15.75">
      <c r="A6333" s="33"/>
      <c r="B6333" s="33"/>
      <c r="G6333" s="33"/>
    </row>
    <row r="6334" spans="1:7" ht="15.75">
      <c r="A6334" s="33"/>
      <c r="B6334" s="33"/>
      <c r="G6334" s="33"/>
    </row>
    <row r="6335" spans="1:7" ht="15.75">
      <c r="A6335" s="33"/>
      <c r="B6335" s="33"/>
      <c r="G6335" s="33"/>
    </row>
    <row r="6336" spans="1:7" ht="15.75">
      <c r="A6336" s="33"/>
      <c r="B6336" s="33"/>
      <c r="G6336" s="33"/>
    </row>
    <row r="6337" spans="1:7" ht="15.75">
      <c r="A6337" s="33"/>
      <c r="B6337" s="33"/>
      <c r="G6337" s="33"/>
    </row>
    <row r="6338" spans="1:7" ht="15.75">
      <c r="A6338" s="33"/>
      <c r="B6338" s="33"/>
      <c r="G6338" s="33"/>
    </row>
    <row r="6339" spans="1:7" ht="15.75">
      <c r="A6339" s="33"/>
      <c r="B6339" s="33"/>
      <c r="G6339" s="33"/>
    </row>
    <row r="6340" spans="1:7" ht="15.75">
      <c r="A6340" s="33"/>
      <c r="B6340" s="33"/>
      <c r="G6340" s="33"/>
    </row>
    <row r="6341" spans="1:7" ht="15.75">
      <c r="A6341" s="33"/>
      <c r="B6341" s="33"/>
      <c r="G6341" s="33"/>
    </row>
    <row r="6342" spans="1:7" ht="15.75">
      <c r="A6342" s="33"/>
      <c r="B6342" s="33"/>
      <c r="G6342" s="33"/>
    </row>
    <row r="6343" spans="1:7" ht="15.75">
      <c r="A6343" s="33"/>
      <c r="B6343" s="33"/>
      <c r="G6343" s="33"/>
    </row>
    <row r="6344" spans="1:7" ht="15.75">
      <c r="A6344" s="33"/>
      <c r="B6344" s="33"/>
      <c r="G6344" s="33"/>
    </row>
    <row r="6345" spans="1:7" ht="15.75">
      <c r="A6345" s="33"/>
      <c r="B6345" s="33"/>
      <c r="G6345" s="33"/>
    </row>
    <row r="6346" spans="1:7" ht="15.75">
      <c r="A6346" s="33"/>
      <c r="B6346" s="33"/>
      <c r="G6346" s="33"/>
    </row>
    <row r="6347" spans="1:7" ht="15.75">
      <c r="A6347" s="33"/>
      <c r="B6347" s="33"/>
      <c r="G6347" s="33"/>
    </row>
    <row r="6348" spans="1:7" ht="15.75">
      <c r="A6348" s="33"/>
      <c r="B6348" s="33"/>
      <c r="G6348" s="33"/>
    </row>
    <row r="6349" spans="1:7" ht="15.75">
      <c r="A6349" s="33"/>
      <c r="B6349" s="33"/>
      <c r="G6349" s="33"/>
    </row>
    <row r="6350" spans="1:7" ht="15.75">
      <c r="A6350" s="33"/>
      <c r="B6350" s="33"/>
      <c r="G6350" s="33"/>
    </row>
    <row r="6351" spans="1:7" ht="15.75">
      <c r="A6351" s="33"/>
      <c r="B6351" s="33"/>
      <c r="G6351" s="33"/>
    </row>
    <row r="6352" spans="1:7" ht="15.75">
      <c r="A6352" s="33"/>
      <c r="B6352" s="33"/>
      <c r="G6352" s="33"/>
    </row>
    <row r="6353" spans="1:7" ht="15.75">
      <c r="A6353" s="33"/>
      <c r="B6353" s="33"/>
      <c r="G6353" s="33"/>
    </row>
    <row r="6354" spans="1:7" ht="15.75">
      <c r="A6354" s="33"/>
      <c r="B6354" s="33"/>
      <c r="G6354" s="33"/>
    </row>
    <row r="6355" spans="1:7" ht="15.75">
      <c r="A6355" s="33"/>
      <c r="B6355" s="33"/>
      <c r="G6355" s="33"/>
    </row>
    <row r="6356" spans="1:7" ht="15.75">
      <c r="A6356" s="33"/>
      <c r="B6356" s="33"/>
      <c r="G6356" s="33"/>
    </row>
    <row r="6357" spans="1:7" ht="15.75">
      <c r="A6357" s="33"/>
      <c r="B6357" s="33"/>
      <c r="G6357" s="33"/>
    </row>
    <row r="6358" spans="1:7" ht="15.75">
      <c r="A6358" s="33"/>
      <c r="B6358" s="33"/>
      <c r="G6358" s="33"/>
    </row>
    <row r="6359" spans="1:7" ht="15.75">
      <c r="A6359" s="33"/>
      <c r="B6359" s="33"/>
      <c r="G6359" s="33"/>
    </row>
    <row r="6360" spans="1:7" ht="15.75">
      <c r="A6360" s="33"/>
      <c r="B6360" s="33"/>
      <c r="G6360" s="33"/>
    </row>
    <row r="6361" spans="1:7" ht="15.75">
      <c r="A6361" s="33"/>
      <c r="B6361" s="33"/>
      <c r="G6361" s="33"/>
    </row>
    <row r="6362" spans="1:7" ht="15.75">
      <c r="A6362" s="33"/>
      <c r="B6362" s="33"/>
      <c r="G6362" s="33"/>
    </row>
    <row r="6363" spans="1:7" ht="15.75">
      <c r="A6363" s="33"/>
      <c r="B6363" s="33"/>
      <c r="G6363" s="33"/>
    </row>
    <row r="6364" spans="1:7" ht="15.75">
      <c r="A6364" s="33"/>
      <c r="B6364" s="33"/>
      <c r="G6364" s="33"/>
    </row>
    <row r="6365" spans="1:7" ht="15.75">
      <c r="A6365" s="33"/>
      <c r="B6365" s="33"/>
      <c r="G6365" s="33"/>
    </row>
    <row r="6366" spans="1:7" ht="15.75">
      <c r="A6366" s="33"/>
      <c r="B6366" s="33"/>
      <c r="G6366" s="33"/>
    </row>
    <row r="6367" spans="1:7" ht="15.75">
      <c r="A6367" s="33"/>
      <c r="B6367" s="33"/>
      <c r="G6367" s="33"/>
    </row>
    <row r="6368" spans="1:7" ht="15.75">
      <c r="A6368" s="33"/>
      <c r="B6368" s="33"/>
      <c r="G6368" s="33"/>
    </row>
    <row r="6369" spans="1:7" ht="15.75">
      <c r="A6369" s="33"/>
      <c r="B6369" s="33"/>
      <c r="G6369" s="33"/>
    </row>
    <row r="6370" spans="1:7" ht="15.75">
      <c r="A6370" s="33"/>
      <c r="B6370" s="33"/>
      <c r="G6370" s="33"/>
    </row>
    <row r="6371" spans="1:7" ht="15.75">
      <c r="A6371" s="33"/>
      <c r="B6371" s="33"/>
      <c r="G6371" s="33"/>
    </row>
    <row r="6372" spans="1:7" ht="15.75">
      <c r="A6372" s="33"/>
      <c r="B6372" s="33"/>
      <c r="G6372" s="33"/>
    </row>
    <row r="6373" spans="1:7" ht="15.75">
      <c r="A6373" s="33"/>
      <c r="B6373" s="33"/>
      <c r="G6373" s="33"/>
    </row>
    <row r="6374" spans="1:7" ht="15.75">
      <c r="A6374" s="33"/>
      <c r="B6374" s="33"/>
      <c r="G6374" s="33"/>
    </row>
    <row r="6375" spans="1:7" ht="15.75">
      <c r="A6375" s="33"/>
      <c r="B6375" s="33"/>
      <c r="G6375" s="33"/>
    </row>
    <row r="6376" spans="1:7" ht="15.75">
      <c r="A6376" s="33"/>
      <c r="B6376" s="33"/>
      <c r="G6376" s="33"/>
    </row>
    <row r="6377" spans="1:7" ht="15.75">
      <c r="A6377" s="33"/>
      <c r="B6377" s="33"/>
      <c r="G6377" s="33"/>
    </row>
    <row r="6378" spans="1:7" ht="15.75">
      <c r="A6378" s="33"/>
      <c r="B6378" s="33"/>
      <c r="G6378" s="33"/>
    </row>
    <row r="6379" spans="1:7" ht="15.75">
      <c r="A6379" s="33"/>
      <c r="B6379" s="33"/>
      <c r="G6379" s="33"/>
    </row>
    <row r="6380" spans="1:7" ht="15.75">
      <c r="A6380" s="33"/>
      <c r="B6380" s="33"/>
      <c r="G6380" s="33"/>
    </row>
    <row r="6381" spans="1:7" ht="15.75">
      <c r="A6381" s="33"/>
      <c r="B6381" s="33"/>
      <c r="G6381" s="33"/>
    </row>
    <row r="6382" spans="1:7" ht="15.75">
      <c r="A6382" s="33"/>
      <c r="B6382" s="33"/>
      <c r="G6382" s="33"/>
    </row>
    <row r="6383" spans="1:7" ht="15.75">
      <c r="A6383" s="33"/>
      <c r="B6383" s="33"/>
      <c r="G6383" s="33"/>
    </row>
    <row r="6384" spans="1:7" ht="15.75">
      <c r="A6384" s="33"/>
      <c r="B6384" s="33"/>
      <c r="G6384" s="33"/>
    </row>
    <row r="6385" spans="1:7" ht="15.75">
      <c r="A6385" s="33"/>
      <c r="B6385" s="33"/>
      <c r="G6385" s="33"/>
    </row>
    <row r="6386" spans="1:7" ht="15.75">
      <c r="A6386" s="33"/>
      <c r="B6386" s="33"/>
      <c r="G6386" s="33"/>
    </row>
    <row r="6387" spans="1:7" ht="15.75">
      <c r="A6387" s="33"/>
      <c r="B6387" s="33"/>
      <c r="G6387" s="33"/>
    </row>
    <row r="6388" spans="1:7" ht="15.75">
      <c r="A6388" s="33"/>
      <c r="B6388" s="33"/>
      <c r="G6388" s="33"/>
    </row>
    <row r="6389" spans="1:7" ht="15.75">
      <c r="A6389" s="33"/>
      <c r="B6389" s="33"/>
      <c r="G6389" s="33"/>
    </row>
    <row r="6390" spans="1:7" ht="15.75">
      <c r="A6390" s="33"/>
      <c r="B6390" s="33"/>
      <c r="G6390" s="33"/>
    </row>
    <row r="6391" spans="1:7" ht="15.75">
      <c r="A6391" s="33"/>
      <c r="B6391" s="33"/>
      <c r="G6391" s="33"/>
    </row>
    <row r="6392" spans="1:7" ht="15.75">
      <c r="A6392" s="33"/>
      <c r="B6392" s="33"/>
      <c r="G6392" s="33"/>
    </row>
    <row r="6393" spans="1:7" ht="15.75">
      <c r="A6393" s="33"/>
      <c r="B6393" s="33"/>
      <c r="G6393" s="33"/>
    </row>
    <row r="6394" spans="1:7" ht="15.75">
      <c r="A6394" s="33"/>
      <c r="B6394" s="33"/>
      <c r="G6394" s="33"/>
    </row>
    <row r="6395" spans="1:7" ht="15.75">
      <c r="A6395" s="33"/>
      <c r="B6395" s="33"/>
      <c r="G6395" s="33"/>
    </row>
    <row r="6396" spans="1:7" ht="15.75">
      <c r="A6396" s="33"/>
      <c r="B6396" s="33"/>
      <c r="G6396" s="33"/>
    </row>
    <row r="6397" spans="1:7" ht="15.75">
      <c r="A6397" s="33"/>
      <c r="B6397" s="33"/>
      <c r="G6397" s="33"/>
    </row>
    <row r="6398" spans="1:7" ht="15.75">
      <c r="A6398" s="33"/>
      <c r="B6398" s="33"/>
      <c r="G6398" s="33"/>
    </row>
    <row r="6399" spans="1:7" ht="15.75">
      <c r="A6399" s="33"/>
      <c r="B6399" s="33"/>
      <c r="G6399" s="33"/>
    </row>
    <row r="6400" spans="1:7" ht="15.75">
      <c r="A6400" s="33"/>
      <c r="B6400" s="33"/>
      <c r="G6400" s="33"/>
    </row>
    <row r="6401" spans="1:7" ht="15.75">
      <c r="A6401" s="33"/>
      <c r="B6401" s="33"/>
      <c r="G6401" s="33"/>
    </row>
    <row r="6402" spans="1:7" ht="15.75">
      <c r="A6402" s="33"/>
      <c r="B6402" s="33"/>
      <c r="G6402" s="33"/>
    </row>
    <row r="6403" spans="1:7" ht="15.75">
      <c r="A6403" s="33"/>
      <c r="B6403" s="33"/>
      <c r="G6403" s="33"/>
    </row>
    <row r="6404" spans="1:7" ht="15.75">
      <c r="A6404" s="33"/>
      <c r="B6404" s="33"/>
      <c r="G6404" s="33"/>
    </row>
    <row r="6405" spans="1:7" ht="15.75">
      <c r="A6405" s="33"/>
      <c r="B6405" s="33"/>
      <c r="G6405" s="33"/>
    </row>
    <row r="6406" spans="1:7" ht="15.75">
      <c r="A6406" s="33"/>
      <c r="B6406" s="33"/>
      <c r="G6406" s="33"/>
    </row>
    <row r="6407" spans="1:7" ht="15.75">
      <c r="A6407" s="33"/>
      <c r="B6407" s="33"/>
      <c r="G6407" s="33"/>
    </row>
    <row r="6408" spans="1:7" ht="15.75">
      <c r="A6408" s="33"/>
      <c r="B6408" s="33"/>
      <c r="G6408" s="33"/>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58DFC-D6A9-42FA-AB2B-3202E0EEB7FE}">
  <dimension ref="C4:M24"/>
  <sheetViews>
    <sheetView zoomScale="115" zoomScaleNormal="115" workbookViewId="0">
      <selection activeCell="J24" sqref="J24"/>
    </sheetView>
  </sheetViews>
  <sheetFormatPr defaultRowHeight="15"/>
  <cols>
    <col min="3" max="3" width="10.85546875" bestFit="1" customWidth="1"/>
    <col min="4" max="4" width="10.85546875" customWidth="1"/>
    <col min="5" max="5" width="13.42578125" customWidth="1"/>
    <col min="6" max="6" width="5" style="391" customWidth="1"/>
    <col min="7" max="7" width="12.140625" bestFit="1" customWidth="1"/>
    <col min="8" max="8" width="5" style="391" customWidth="1"/>
  </cols>
  <sheetData>
    <row r="4" spans="3:13">
      <c r="C4" s="353" t="s">
        <v>253</v>
      </c>
      <c r="D4" s="354" t="s">
        <v>254</v>
      </c>
      <c r="E4" s="395" t="s">
        <v>255</v>
      </c>
      <c r="F4" s="393"/>
      <c r="G4" s="395" t="s">
        <v>256</v>
      </c>
      <c r="H4" s="393"/>
      <c r="I4" s="354" t="s">
        <v>257</v>
      </c>
      <c r="J4" s="355" t="s">
        <v>258</v>
      </c>
      <c r="K4" s="355" t="s">
        <v>259</v>
      </c>
      <c r="L4" s="355" t="s">
        <v>260</v>
      </c>
      <c r="M4" s="100"/>
    </row>
    <row r="5" spans="3:13">
      <c r="C5" t="s">
        <v>50</v>
      </c>
      <c r="D5" s="352">
        <v>13771</v>
      </c>
      <c r="E5" s="396">
        <f>+FAT!AK11</f>
        <v>13770.504000000001</v>
      </c>
      <c r="F5" s="394">
        <f>+D5/E5-1</f>
        <v>3.6019015716481917E-5</v>
      </c>
      <c r="G5" s="396">
        <f>+AVERAGE(I5:L5)</f>
        <v>13703.5</v>
      </c>
      <c r="H5" s="394">
        <f>+D5/G5-1</f>
        <v>4.9257488962672902E-3</v>
      </c>
      <c r="I5" s="400">
        <v>13739</v>
      </c>
      <c r="J5" s="401">
        <v>13728</v>
      </c>
      <c r="K5" s="401">
        <v>13639</v>
      </c>
      <c r="L5" s="401">
        <v>13708</v>
      </c>
    </row>
    <row r="6" spans="3:13">
      <c r="C6" t="s">
        <v>261</v>
      </c>
      <c r="D6" s="397">
        <v>0.03</v>
      </c>
      <c r="E6" s="397">
        <f>+FAT!AK12</f>
        <v>2.9845813717807035E-2</v>
      </c>
      <c r="F6" s="394"/>
      <c r="G6" s="397"/>
      <c r="H6" s="394"/>
      <c r="I6" s="351"/>
      <c r="J6" s="404">
        <v>2.7E-2</v>
      </c>
      <c r="K6" s="404">
        <v>0.02</v>
      </c>
      <c r="L6" s="404">
        <v>2.5000000000000001E-2</v>
      </c>
    </row>
    <row r="7" spans="3:13">
      <c r="D7" s="352"/>
      <c r="E7" s="398"/>
      <c r="G7" s="398"/>
      <c r="I7" s="352"/>
    </row>
    <row r="8" spans="3:13" hidden="1">
      <c r="C8" t="s">
        <v>262</v>
      </c>
      <c r="D8" s="352"/>
      <c r="E8" s="397">
        <f>+FAT!AK17</f>
        <v>2.4845813717807034E-2</v>
      </c>
      <c r="F8" s="394"/>
      <c r="G8" s="397"/>
      <c r="H8" s="394"/>
      <c r="I8" s="351"/>
      <c r="J8" s="19">
        <f>+J6-J9</f>
        <v>0.02</v>
      </c>
      <c r="K8" s="19"/>
      <c r="L8" s="19"/>
    </row>
    <row r="9" spans="3:13" hidden="1">
      <c r="C9" t="s">
        <v>263</v>
      </c>
      <c r="D9" s="352"/>
      <c r="E9" s="397">
        <f>+FAT!AK18</f>
        <v>5.0000000000000001E-3</v>
      </c>
      <c r="F9" s="394"/>
      <c r="G9" s="397"/>
      <c r="H9" s="394"/>
      <c r="I9" s="351"/>
      <c r="J9" s="19">
        <v>7.0000000000000001E-3</v>
      </c>
      <c r="K9" s="19"/>
      <c r="L9" s="19"/>
    </row>
    <row r="10" spans="3:13" hidden="1">
      <c r="D10" s="352"/>
      <c r="E10" s="398"/>
      <c r="G10" s="398"/>
      <c r="I10" s="352"/>
    </row>
    <row r="11" spans="3:13">
      <c r="C11" t="s">
        <v>12</v>
      </c>
      <c r="D11" s="352">
        <v>3502</v>
      </c>
      <c r="E11" s="399">
        <f>+FAT!AK84</f>
        <v>3502.4700000000003</v>
      </c>
      <c r="F11" s="394">
        <f>+D11/E11-1</f>
        <v>-1.3419101377032394E-4</v>
      </c>
      <c r="G11" s="399">
        <f>+AVERAGE(I11:L11)</f>
        <v>3470.75</v>
      </c>
      <c r="H11" s="394">
        <f>+D11/G11-1</f>
        <v>9.0038176186704177E-3</v>
      </c>
      <c r="I11" s="402">
        <v>3446</v>
      </c>
      <c r="J11" s="403">
        <v>3459</v>
      </c>
      <c r="K11" s="403">
        <v>3567</v>
      </c>
      <c r="L11" s="403">
        <v>3411</v>
      </c>
    </row>
    <row r="12" spans="3:13">
      <c r="C12" t="s">
        <v>4</v>
      </c>
      <c r="D12" s="351">
        <f>+D11/D5</f>
        <v>0.2543025197879602</v>
      </c>
      <c r="E12" s="397">
        <f>+FAT!AK85</f>
        <v>0.2543458104365679</v>
      </c>
      <c r="F12" s="394">
        <f>+D12-E12</f>
        <v>-4.3290648607696713E-5</v>
      </c>
      <c r="G12" s="397">
        <f t="shared" ref="G12:L12" si="0">+G11/G5</f>
        <v>0.25327471084029629</v>
      </c>
      <c r="H12" s="394">
        <f>+D12-G12</f>
        <v>1.0278089476639107E-3</v>
      </c>
      <c r="I12" s="351">
        <f t="shared" si="0"/>
        <v>0.25081883688769196</v>
      </c>
      <c r="J12" s="19">
        <f t="shared" si="0"/>
        <v>0.25196678321678323</v>
      </c>
      <c r="K12" s="19">
        <f t="shared" si="0"/>
        <v>0.26152943764205588</v>
      </c>
      <c r="L12" s="19">
        <f t="shared" si="0"/>
        <v>0.24883279836591771</v>
      </c>
    </row>
    <row r="13" spans="3:13">
      <c r="D13" s="352"/>
      <c r="E13" s="398"/>
      <c r="G13" s="398"/>
      <c r="I13" s="352"/>
    </row>
    <row r="14" spans="3:13">
      <c r="C14" t="s">
        <v>264</v>
      </c>
      <c r="D14" s="352">
        <v>1792</v>
      </c>
      <c r="E14" s="396">
        <f>+PROJ!AK27</f>
        <v>1791.511</v>
      </c>
      <c r="F14" s="394">
        <f>+D14/E14-1</f>
        <v>2.7295394781279292E-4</v>
      </c>
      <c r="G14" s="396">
        <f>+AVERAGE(I14:L14)</f>
        <v>1813.75</v>
      </c>
      <c r="H14" s="394">
        <f>+D14/G14-1</f>
        <v>-1.1991729841488663E-2</v>
      </c>
      <c r="I14" s="400">
        <v>1758</v>
      </c>
      <c r="J14" s="401">
        <v>1914</v>
      </c>
      <c r="K14" s="401">
        <v>1845</v>
      </c>
      <c r="L14" s="401">
        <v>1738</v>
      </c>
    </row>
    <row r="15" spans="3:13">
      <c r="D15" s="352"/>
      <c r="E15" s="398"/>
      <c r="G15" s="398"/>
      <c r="I15" s="352"/>
    </row>
    <row r="24" spans="11:11">
      <c r="K24" s="39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59"/>
  <sheetViews>
    <sheetView showGridLines="0" workbookViewId="0">
      <selection activeCell="L39" sqref="L39"/>
    </sheetView>
  </sheetViews>
  <sheetFormatPr defaultRowHeight="12"/>
  <cols>
    <col min="1" max="1" width="3.42578125" style="166" customWidth="1"/>
    <col min="2" max="2" width="7" style="166" customWidth="1"/>
    <col min="3" max="3" width="14.42578125" style="188" customWidth="1"/>
    <col min="4" max="4" width="18.7109375" style="188" customWidth="1"/>
    <col min="5" max="5" width="10.42578125" style="166" bestFit="1" customWidth="1"/>
    <col min="6" max="6" width="6.42578125" style="166" customWidth="1"/>
    <col min="7" max="7" width="16.28515625" style="166" customWidth="1"/>
    <col min="8" max="8" width="9.85546875" style="166" bestFit="1" customWidth="1"/>
    <col min="9" max="10" width="8.85546875" style="166" bestFit="1" customWidth="1"/>
    <col min="11" max="11" width="8.5703125" style="166"/>
    <col min="12" max="13" width="8.85546875" style="166" bestFit="1" customWidth="1"/>
    <col min="14" max="238" width="9.140625" style="166"/>
    <col min="239" max="239" width="3.42578125" style="166" customWidth="1"/>
    <col min="240" max="240" width="20" style="166" customWidth="1"/>
    <col min="241" max="241" width="10.5703125" style="166" customWidth="1"/>
    <col min="242" max="256" width="6.28515625" style="166" customWidth="1"/>
    <col min="257" max="494" width="9.140625" style="166"/>
    <col min="495" max="495" width="3.42578125" style="166" customWidth="1"/>
    <col min="496" max="496" width="20" style="166" customWidth="1"/>
    <col min="497" max="497" width="10.5703125" style="166" customWidth="1"/>
    <col min="498" max="512" width="6.28515625" style="166" customWidth="1"/>
    <col min="513" max="750" width="9.140625" style="166"/>
    <col min="751" max="751" width="3.42578125" style="166" customWidth="1"/>
    <col min="752" max="752" width="20" style="166" customWidth="1"/>
    <col min="753" max="753" width="10.5703125" style="166" customWidth="1"/>
    <col min="754" max="768" width="6.28515625" style="166" customWidth="1"/>
    <col min="769" max="1006" width="9.140625" style="166"/>
    <col min="1007" max="1007" width="3.42578125" style="166" customWidth="1"/>
    <col min="1008" max="1008" width="20" style="166" customWidth="1"/>
    <col min="1009" max="1009" width="10.5703125" style="166" customWidth="1"/>
    <col min="1010" max="1024" width="6.28515625" style="166" customWidth="1"/>
    <col min="1025" max="1262" width="9.140625" style="166"/>
    <col min="1263" max="1263" width="3.42578125" style="166" customWidth="1"/>
    <col min="1264" max="1264" width="20" style="166" customWidth="1"/>
    <col min="1265" max="1265" width="10.5703125" style="166" customWidth="1"/>
    <col min="1266" max="1280" width="6.28515625" style="166" customWidth="1"/>
    <col min="1281" max="1518" width="9.140625" style="166"/>
    <col min="1519" max="1519" width="3.42578125" style="166" customWidth="1"/>
    <col min="1520" max="1520" width="20" style="166" customWidth="1"/>
    <col min="1521" max="1521" width="10.5703125" style="166" customWidth="1"/>
    <col min="1522" max="1536" width="6.28515625" style="166" customWidth="1"/>
    <col min="1537" max="1774" width="9.140625" style="166"/>
    <col min="1775" max="1775" width="3.42578125" style="166" customWidth="1"/>
    <col min="1776" max="1776" width="20" style="166" customWidth="1"/>
    <col min="1777" max="1777" width="10.5703125" style="166" customWidth="1"/>
    <col min="1778" max="1792" width="6.28515625" style="166" customWidth="1"/>
    <col min="1793" max="2030" width="9.140625" style="166"/>
    <col min="2031" max="2031" width="3.42578125" style="166" customWidth="1"/>
    <col min="2032" max="2032" width="20" style="166" customWidth="1"/>
    <col min="2033" max="2033" width="10.5703125" style="166" customWidth="1"/>
    <col min="2034" max="2048" width="6.28515625" style="166" customWidth="1"/>
    <col min="2049" max="2286" width="9.140625" style="166"/>
    <col min="2287" max="2287" width="3.42578125" style="166" customWidth="1"/>
    <col min="2288" max="2288" width="20" style="166" customWidth="1"/>
    <col min="2289" max="2289" width="10.5703125" style="166" customWidth="1"/>
    <col min="2290" max="2304" width="6.28515625" style="166" customWidth="1"/>
    <col min="2305" max="2542" width="9.140625" style="166"/>
    <col min="2543" max="2543" width="3.42578125" style="166" customWidth="1"/>
    <col min="2544" max="2544" width="20" style="166" customWidth="1"/>
    <col min="2545" max="2545" width="10.5703125" style="166" customWidth="1"/>
    <col min="2546" max="2560" width="6.28515625" style="166" customWidth="1"/>
    <col min="2561" max="2798" width="9.140625" style="166"/>
    <col min="2799" max="2799" width="3.42578125" style="166" customWidth="1"/>
    <col min="2800" max="2800" width="20" style="166" customWidth="1"/>
    <col min="2801" max="2801" width="10.5703125" style="166" customWidth="1"/>
    <col min="2802" max="2816" width="6.28515625" style="166" customWidth="1"/>
    <col min="2817" max="3054" width="9.140625" style="166"/>
    <col min="3055" max="3055" width="3.42578125" style="166" customWidth="1"/>
    <col min="3056" max="3056" width="20" style="166" customWidth="1"/>
    <col min="3057" max="3057" width="10.5703125" style="166" customWidth="1"/>
    <col min="3058" max="3072" width="6.28515625" style="166" customWidth="1"/>
    <col min="3073" max="3310" width="9.140625" style="166"/>
    <col min="3311" max="3311" width="3.42578125" style="166" customWidth="1"/>
    <col min="3312" max="3312" width="20" style="166" customWidth="1"/>
    <col min="3313" max="3313" width="10.5703125" style="166" customWidth="1"/>
    <col min="3314" max="3328" width="6.28515625" style="166" customWidth="1"/>
    <col min="3329" max="3566" width="9.140625" style="166"/>
    <col min="3567" max="3567" width="3.42578125" style="166" customWidth="1"/>
    <col min="3568" max="3568" width="20" style="166" customWidth="1"/>
    <col min="3569" max="3569" width="10.5703125" style="166" customWidth="1"/>
    <col min="3570" max="3584" width="6.28515625" style="166" customWidth="1"/>
    <col min="3585" max="3822" width="9.140625" style="166"/>
    <col min="3823" max="3823" width="3.42578125" style="166" customWidth="1"/>
    <col min="3824" max="3824" width="20" style="166" customWidth="1"/>
    <col min="3825" max="3825" width="10.5703125" style="166" customWidth="1"/>
    <col min="3826" max="3840" width="6.28515625" style="166" customWidth="1"/>
    <col min="3841" max="4078" width="9.140625" style="166"/>
    <col min="4079" max="4079" width="3.42578125" style="166" customWidth="1"/>
    <col min="4080" max="4080" width="20" style="166" customWidth="1"/>
    <col min="4081" max="4081" width="10.5703125" style="166" customWidth="1"/>
    <col min="4082" max="4096" width="6.28515625" style="166" customWidth="1"/>
    <col min="4097" max="4334" width="9.140625" style="166"/>
    <col min="4335" max="4335" width="3.42578125" style="166" customWidth="1"/>
    <col min="4336" max="4336" width="20" style="166" customWidth="1"/>
    <col min="4337" max="4337" width="10.5703125" style="166" customWidth="1"/>
    <col min="4338" max="4352" width="6.28515625" style="166" customWidth="1"/>
    <col min="4353" max="4590" width="9.140625" style="166"/>
    <col min="4591" max="4591" width="3.42578125" style="166" customWidth="1"/>
    <col min="4592" max="4592" width="20" style="166" customWidth="1"/>
    <col min="4593" max="4593" width="10.5703125" style="166" customWidth="1"/>
    <col min="4594" max="4608" width="6.28515625" style="166" customWidth="1"/>
    <col min="4609" max="4846" width="9.140625" style="166"/>
    <col min="4847" max="4847" width="3.42578125" style="166" customWidth="1"/>
    <col min="4848" max="4848" width="20" style="166" customWidth="1"/>
    <col min="4849" max="4849" width="10.5703125" style="166" customWidth="1"/>
    <col min="4850" max="4864" width="6.28515625" style="166" customWidth="1"/>
    <col min="4865" max="5102" width="9.140625" style="166"/>
    <col min="5103" max="5103" width="3.42578125" style="166" customWidth="1"/>
    <col min="5104" max="5104" width="20" style="166" customWidth="1"/>
    <col min="5105" max="5105" width="10.5703125" style="166" customWidth="1"/>
    <col min="5106" max="5120" width="6.28515625" style="166" customWidth="1"/>
    <col min="5121" max="5358" width="9.140625" style="166"/>
    <col min="5359" max="5359" width="3.42578125" style="166" customWidth="1"/>
    <col min="5360" max="5360" width="20" style="166" customWidth="1"/>
    <col min="5361" max="5361" width="10.5703125" style="166" customWidth="1"/>
    <col min="5362" max="5376" width="6.28515625" style="166" customWidth="1"/>
    <col min="5377" max="5614" width="9.140625" style="166"/>
    <col min="5615" max="5615" width="3.42578125" style="166" customWidth="1"/>
    <col min="5616" max="5616" width="20" style="166" customWidth="1"/>
    <col min="5617" max="5617" width="10.5703125" style="166" customWidth="1"/>
    <col min="5618" max="5632" width="6.28515625" style="166" customWidth="1"/>
    <col min="5633" max="5870" width="9.140625" style="166"/>
    <col min="5871" max="5871" width="3.42578125" style="166" customWidth="1"/>
    <col min="5872" max="5872" width="20" style="166" customWidth="1"/>
    <col min="5873" max="5873" width="10.5703125" style="166" customWidth="1"/>
    <col min="5874" max="5888" width="6.28515625" style="166" customWidth="1"/>
    <col min="5889" max="6126" width="9.140625" style="166"/>
    <col min="6127" max="6127" width="3.42578125" style="166" customWidth="1"/>
    <col min="6128" max="6128" width="20" style="166" customWidth="1"/>
    <col min="6129" max="6129" width="10.5703125" style="166" customWidth="1"/>
    <col min="6130" max="6144" width="6.28515625" style="166" customWidth="1"/>
    <col min="6145" max="6382" width="9.140625" style="166"/>
    <col min="6383" max="6383" width="3.42578125" style="166" customWidth="1"/>
    <col min="6384" max="6384" width="20" style="166" customWidth="1"/>
    <col min="6385" max="6385" width="10.5703125" style="166" customWidth="1"/>
    <col min="6386" max="6400" width="6.28515625" style="166" customWidth="1"/>
    <col min="6401" max="6638" width="9.140625" style="166"/>
    <col min="6639" max="6639" width="3.42578125" style="166" customWidth="1"/>
    <col min="6640" max="6640" width="20" style="166" customWidth="1"/>
    <col min="6641" max="6641" width="10.5703125" style="166" customWidth="1"/>
    <col min="6642" max="6656" width="6.28515625" style="166" customWidth="1"/>
    <col min="6657" max="6894" width="9.140625" style="166"/>
    <col min="6895" max="6895" width="3.42578125" style="166" customWidth="1"/>
    <col min="6896" max="6896" width="20" style="166" customWidth="1"/>
    <col min="6897" max="6897" width="10.5703125" style="166" customWidth="1"/>
    <col min="6898" max="6912" width="6.28515625" style="166" customWidth="1"/>
    <col min="6913" max="7150" width="9.140625" style="166"/>
    <col min="7151" max="7151" width="3.42578125" style="166" customWidth="1"/>
    <col min="7152" max="7152" width="20" style="166" customWidth="1"/>
    <col min="7153" max="7153" width="10.5703125" style="166" customWidth="1"/>
    <col min="7154" max="7168" width="6.28515625" style="166" customWidth="1"/>
    <col min="7169" max="7406" width="9.140625" style="166"/>
    <col min="7407" max="7407" width="3.42578125" style="166" customWidth="1"/>
    <col min="7408" max="7408" width="20" style="166" customWidth="1"/>
    <col min="7409" max="7409" width="10.5703125" style="166" customWidth="1"/>
    <col min="7410" max="7424" width="6.28515625" style="166" customWidth="1"/>
    <col min="7425" max="7662" width="9.140625" style="166"/>
    <col min="7663" max="7663" width="3.42578125" style="166" customWidth="1"/>
    <col min="7664" max="7664" width="20" style="166" customWidth="1"/>
    <col min="7665" max="7665" width="10.5703125" style="166" customWidth="1"/>
    <col min="7666" max="7680" width="6.28515625" style="166" customWidth="1"/>
    <col min="7681" max="7918" width="9.140625" style="166"/>
    <col min="7919" max="7919" width="3.42578125" style="166" customWidth="1"/>
    <col min="7920" max="7920" width="20" style="166" customWidth="1"/>
    <col min="7921" max="7921" width="10.5703125" style="166" customWidth="1"/>
    <col min="7922" max="7936" width="6.28515625" style="166" customWidth="1"/>
    <col min="7937" max="8174" width="9.140625" style="166"/>
    <col min="8175" max="8175" width="3.42578125" style="166" customWidth="1"/>
    <col min="8176" max="8176" width="20" style="166" customWidth="1"/>
    <col min="8177" max="8177" width="10.5703125" style="166" customWidth="1"/>
    <col min="8178" max="8192" width="6.28515625" style="166" customWidth="1"/>
    <col min="8193" max="8430" width="9.140625" style="166"/>
    <col min="8431" max="8431" width="3.42578125" style="166" customWidth="1"/>
    <col min="8432" max="8432" width="20" style="166" customWidth="1"/>
    <col min="8433" max="8433" width="10.5703125" style="166" customWidth="1"/>
    <col min="8434" max="8448" width="6.28515625" style="166" customWidth="1"/>
    <col min="8449" max="8686" width="9.140625" style="166"/>
    <col min="8687" max="8687" width="3.42578125" style="166" customWidth="1"/>
    <col min="8688" max="8688" width="20" style="166" customWidth="1"/>
    <col min="8689" max="8689" width="10.5703125" style="166" customWidth="1"/>
    <col min="8690" max="8704" width="6.28515625" style="166" customWidth="1"/>
    <col min="8705" max="8942" width="9.140625" style="166"/>
    <col min="8943" max="8943" width="3.42578125" style="166" customWidth="1"/>
    <col min="8944" max="8944" width="20" style="166" customWidth="1"/>
    <col min="8945" max="8945" width="10.5703125" style="166" customWidth="1"/>
    <col min="8946" max="8960" width="6.28515625" style="166" customWidth="1"/>
    <col min="8961" max="9198" width="9.140625" style="166"/>
    <col min="9199" max="9199" width="3.42578125" style="166" customWidth="1"/>
    <col min="9200" max="9200" width="20" style="166" customWidth="1"/>
    <col min="9201" max="9201" width="10.5703125" style="166" customWidth="1"/>
    <col min="9202" max="9216" width="6.28515625" style="166" customWidth="1"/>
    <col min="9217" max="9454" width="9.140625" style="166"/>
    <col min="9455" max="9455" width="3.42578125" style="166" customWidth="1"/>
    <col min="9456" max="9456" width="20" style="166" customWidth="1"/>
    <col min="9457" max="9457" width="10.5703125" style="166" customWidth="1"/>
    <col min="9458" max="9472" width="6.28515625" style="166" customWidth="1"/>
    <col min="9473" max="9710" width="9.140625" style="166"/>
    <col min="9711" max="9711" width="3.42578125" style="166" customWidth="1"/>
    <col min="9712" max="9712" width="20" style="166" customWidth="1"/>
    <col min="9713" max="9713" width="10.5703125" style="166" customWidth="1"/>
    <col min="9714" max="9728" width="6.28515625" style="166" customWidth="1"/>
    <col min="9729" max="9966" width="9.140625" style="166"/>
    <col min="9967" max="9967" width="3.42578125" style="166" customWidth="1"/>
    <col min="9968" max="9968" width="20" style="166" customWidth="1"/>
    <col min="9969" max="9969" width="10.5703125" style="166" customWidth="1"/>
    <col min="9970" max="9984" width="6.28515625" style="166" customWidth="1"/>
    <col min="9985" max="10222" width="9.140625" style="166"/>
    <col min="10223" max="10223" width="3.42578125" style="166" customWidth="1"/>
    <col min="10224" max="10224" width="20" style="166" customWidth="1"/>
    <col min="10225" max="10225" width="10.5703125" style="166" customWidth="1"/>
    <col min="10226" max="10240" width="6.28515625" style="166" customWidth="1"/>
    <col min="10241" max="10478" width="9.140625" style="166"/>
    <col min="10479" max="10479" width="3.42578125" style="166" customWidth="1"/>
    <col min="10480" max="10480" width="20" style="166" customWidth="1"/>
    <col min="10481" max="10481" width="10.5703125" style="166" customWidth="1"/>
    <col min="10482" max="10496" width="6.28515625" style="166" customWidth="1"/>
    <col min="10497" max="10734" width="9.140625" style="166"/>
    <col min="10735" max="10735" width="3.42578125" style="166" customWidth="1"/>
    <col min="10736" max="10736" width="20" style="166" customWidth="1"/>
    <col min="10737" max="10737" width="10.5703125" style="166" customWidth="1"/>
    <col min="10738" max="10752" width="6.28515625" style="166" customWidth="1"/>
    <col min="10753" max="10990" width="9.140625" style="166"/>
    <col min="10991" max="10991" width="3.42578125" style="166" customWidth="1"/>
    <col min="10992" max="10992" width="20" style="166" customWidth="1"/>
    <col min="10993" max="10993" width="10.5703125" style="166" customWidth="1"/>
    <col min="10994" max="11008" width="6.28515625" style="166" customWidth="1"/>
    <col min="11009" max="11246" width="9.140625" style="166"/>
    <col min="11247" max="11247" width="3.42578125" style="166" customWidth="1"/>
    <col min="11248" max="11248" width="20" style="166" customWidth="1"/>
    <col min="11249" max="11249" width="10.5703125" style="166" customWidth="1"/>
    <col min="11250" max="11264" width="6.28515625" style="166" customWidth="1"/>
    <col min="11265" max="11502" width="9.140625" style="166"/>
    <col min="11503" max="11503" width="3.42578125" style="166" customWidth="1"/>
    <col min="11504" max="11504" width="20" style="166" customWidth="1"/>
    <col min="11505" max="11505" width="10.5703125" style="166" customWidth="1"/>
    <col min="11506" max="11520" width="6.28515625" style="166" customWidth="1"/>
    <col min="11521" max="11758" width="9.140625" style="166"/>
    <col min="11759" max="11759" width="3.42578125" style="166" customWidth="1"/>
    <col min="11760" max="11760" width="20" style="166" customWidth="1"/>
    <col min="11761" max="11761" width="10.5703125" style="166" customWidth="1"/>
    <col min="11762" max="11776" width="6.28515625" style="166" customWidth="1"/>
    <col min="11777" max="12014" width="9.140625" style="166"/>
    <col min="12015" max="12015" width="3.42578125" style="166" customWidth="1"/>
    <col min="12016" max="12016" width="20" style="166" customWidth="1"/>
    <col min="12017" max="12017" width="10.5703125" style="166" customWidth="1"/>
    <col min="12018" max="12032" width="6.28515625" style="166" customWidth="1"/>
    <col min="12033" max="12270" width="9.140625" style="166"/>
    <col min="12271" max="12271" width="3.42578125" style="166" customWidth="1"/>
    <col min="12272" max="12272" width="20" style="166" customWidth="1"/>
    <col min="12273" max="12273" width="10.5703125" style="166" customWidth="1"/>
    <col min="12274" max="12288" width="6.28515625" style="166" customWidth="1"/>
    <col min="12289" max="12526" width="9.140625" style="166"/>
    <col min="12527" max="12527" width="3.42578125" style="166" customWidth="1"/>
    <col min="12528" max="12528" width="20" style="166" customWidth="1"/>
    <col min="12529" max="12529" width="10.5703125" style="166" customWidth="1"/>
    <col min="12530" max="12544" width="6.28515625" style="166" customWidth="1"/>
    <col min="12545" max="12782" width="9.140625" style="166"/>
    <col min="12783" max="12783" width="3.42578125" style="166" customWidth="1"/>
    <col min="12784" max="12784" width="20" style="166" customWidth="1"/>
    <col min="12785" max="12785" width="10.5703125" style="166" customWidth="1"/>
    <col min="12786" max="12800" width="6.28515625" style="166" customWidth="1"/>
    <col min="12801" max="13038" width="9.140625" style="166"/>
    <col min="13039" max="13039" width="3.42578125" style="166" customWidth="1"/>
    <col min="13040" max="13040" width="20" style="166" customWidth="1"/>
    <col min="13041" max="13041" width="10.5703125" style="166" customWidth="1"/>
    <col min="13042" max="13056" width="6.28515625" style="166" customWidth="1"/>
    <col min="13057" max="13294" width="9.140625" style="166"/>
    <col min="13295" max="13295" width="3.42578125" style="166" customWidth="1"/>
    <col min="13296" max="13296" width="20" style="166" customWidth="1"/>
    <col min="13297" max="13297" width="10.5703125" style="166" customWidth="1"/>
    <col min="13298" max="13312" width="6.28515625" style="166" customWidth="1"/>
    <col min="13313" max="13550" width="9.140625" style="166"/>
    <col min="13551" max="13551" width="3.42578125" style="166" customWidth="1"/>
    <col min="13552" max="13552" width="20" style="166" customWidth="1"/>
    <col min="13553" max="13553" width="10.5703125" style="166" customWidth="1"/>
    <col min="13554" max="13568" width="6.28515625" style="166" customWidth="1"/>
    <col min="13569" max="13806" width="9.140625" style="166"/>
    <col min="13807" max="13807" width="3.42578125" style="166" customWidth="1"/>
    <col min="13808" max="13808" width="20" style="166" customWidth="1"/>
    <col min="13809" max="13809" width="10.5703125" style="166" customWidth="1"/>
    <col min="13810" max="13824" width="6.28515625" style="166" customWidth="1"/>
    <col min="13825" max="14062" width="9.140625" style="166"/>
    <col min="14063" max="14063" width="3.42578125" style="166" customWidth="1"/>
    <col min="14064" max="14064" width="20" style="166" customWidth="1"/>
    <col min="14065" max="14065" width="10.5703125" style="166" customWidth="1"/>
    <col min="14066" max="14080" width="6.28515625" style="166" customWidth="1"/>
    <col min="14081" max="14318" width="9.140625" style="166"/>
    <col min="14319" max="14319" width="3.42578125" style="166" customWidth="1"/>
    <col min="14320" max="14320" width="20" style="166" customWidth="1"/>
    <col min="14321" max="14321" width="10.5703125" style="166" customWidth="1"/>
    <col min="14322" max="14336" width="6.28515625" style="166" customWidth="1"/>
    <col min="14337" max="14574" width="9.140625" style="166"/>
    <col min="14575" max="14575" width="3.42578125" style="166" customWidth="1"/>
    <col min="14576" max="14576" width="20" style="166" customWidth="1"/>
    <col min="14577" max="14577" width="10.5703125" style="166" customWidth="1"/>
    <col min="14578" max="14592" width="6.28515625" style="166" customWidth="1"/>
    <col min="14593" max="14830" width="9.140625" style="166"/>
    <col min="14831" max="14831" width="3.42578125" style="166" customWidth="1"/>
    <col min="14832" max="14832" width="20" style="166" customWidth="1"/>
    <col min="14833" max="14833" width="10.5703125" style="166" customWidth="1"/>
    <col min="14834" max="14848" width="6.28515625" style="166" customWidth="1"/>
    <col min="14849" max="15086" width="9.140625" style="166"/>
    <col min="15087" max="15087" width="3.42578125" style="166" customWidth="1"/>
    <col min="15088" max="15088" width="20" style="166" customWidth="1"/>
    <col min="15089" max="15089" width="10.5703125" style="166" customWidth="1"/>
    <col min="15090" max="15104" width="6.28515625" style="166" customWidth="1"/>
    <col min="15105" max="15342" width="9.140625" style="166"/>
    <col min="15343" max="15343" width="3.42578125" style="166" customWidth="1"/>
    <col min="15344" max="15344" width="20" style="166" customWidth="1"/>
    <col min="15345" max="15345" width="10.5703125" style="166" customWidth="1"/>
    <col min="15346" max="15360" width="6.28515625" style="166" customWidth="1"/>
    <col min="15361" max="15598" width="9.140625" style="166"/>
    <col min="15599" max="15599" width="3.42578125" style="166" customWidth="1"/>
    <col min="15600" max="15600" width="20" style="166" customWidth="1"/>
    <col min="15601" max="15601" width="10.5703125" style="166" customWidth="1"/>
    <col min="15602" max="15616" width="6.28515625" style="166" customWidth="1"/>
    <col min="15617" max="15854" width="9.140625" style="166"/>
    <col min="15855" max="15855" width="3.42578125" style="166" customWidth="1"/>
    <col min="15856" max="15856" width="20" style="166" customWidth="1"/>
    <col min="15857" max="15857" width="10.5703125" style="166" customWidth="1"/>
    <col min="15858" max="15872" width="6.28515625" style="166" customWidth="1"/>
    <col min="15873" max="16110" width="9.140625" style="166"/>
    <col min="16111" max="16111" width="3.42578125" style="166" customWidth="1"/>
    <col min="16112" max="16112" width="20" style="166" customWidth="1"/>
    <col min="16113" max="16113" width="10.5703125" style="166" customWidth="1"/>
    <col min="16114" max="16128" width="6.28515625" style="166" customWidth="1"/>
    <col min="16129" max="16384" width="9.140625" style="166"/>
  </cols>
  <sheetData>
    <row r="1" spans="1:27">
      <c r="A1" s="155"/>
      <c r="B1" s="158"/>
      <c r="C1" s="158"/>
      <c r="D1" s="158"/>
    </row>
    <row r="2" spans="1:27">
      <c r="A2" s="155"/>
      <c r="B2" s="158"/>
      <c r="C2" s="158"/>
      <c r="D2" s="158"/>
      <c r="E2" s="167"/>
      <c r="F2" s="167"/>
      <c r="G2" s="167"/>
      <c r="K2" s="167"/>
      <c r="L2" s="167"/>
      <c r="M2" s="167"/>
      <c r="N2" s="167"/>
      <c r="O2" s="167"/>
      <c r="P2" s="167"/>
      <c r="Q2" s="167"/>
      <c r="R2" s="167"/>
    </row>
    <row r="3" spans="1:27">
      <c r="A3" s="155"/>
      <c r="B3" s="158"/>
      <c r="C3" s="168"/>
      <c r="D3" s="166"/>
      <c r="E3" s="167"/>
      <c r="F3" s="167"/>
      <c r="G3" s="167"/>
      <c r="H3" s="169"/>
      <c r="I3" s="157" t="s">
        <v>14</v>
      </c>
      <c r="J3" s="170" t="s">
        <v>265</v>
      </c>
      <c r="K3" s="169"/>
      <c r="L3" s="169"/>
      <c r="M3" s="169"/>
      <c r="N3" s="169" t="s">
        <v>266</v>
      </c>
      <c r="O3" s="169"/>
      <c r="P3" s="169"/>
      <c r="Q3" s="169" t="s">
        <v>267</v>
      </c>
      <c r="R3" s="169"/>
      <c r="W3" s="157" t="s">
        <v>268</v>
      </c>
      <c r="X3" s="157" t="s">
        <v>269</v>
      </c>
    </row>
    <row r="4" spans="1:27">
      <c r="A4" s="155"/>
      <c r="B4" s="158"/>
      <c r="C4" s="169"/>
      <c r="D4" s="171" t="s">
        <v>270</v>
      </c>
      <c r="E4" s="169" t="s">
        <v>271</v>
      </c>
      <c r="F4" s="169" t="s">
        <v>272</v>
      </c>
      <c r="G4" s="169" t="s">
        <v>273</v>
      </c>
      <c r="H4" s="169" t="s">
        <v>274</v>
      </c>
      <c r="I4" s="169" t="s">
        <v>275</v>
      </c>
      <c r="J4" s="172" t="s">
        <v>276</v>
      </c>
      <c r="K4" s="169" t="s">
        <v>277</v>
      </c>
      <c r="L4" s="169" t="s">
        <v>278</v>
      </c>
      <c r="M4" s="169" t="s">
        <v>279</v>
      </c>
      <c r="N4" s="169" t="s">
        <v>280</v>
      </c>
      <c r="O4" s="169" t="s">
        <v>281</v>
      </c>
      <c r="P4" s="169" t="s">
        <v>282</v>
      </c>
      <c r="Q4" s="169" t="s">
        <v>283</v>
      </c>
      <c r="R4" s="169" t="s">
        <v>284</v>
      </c>
      <c r="S4" s="169" t="s">
        <v>18</v>
      </c>
      <c r="T4" s="169" t="s">
        <v>285</v>
      </c>
      <c r="U4" s="169" t="s">
        <v>88</v>
      </c>
      <c r="V4" s="169" t="s">
        <v>19</v>
      </c>
      <c r="W4" s="169" t="s">
        <v>286</v>
      </c>
      <c r="X4" s="169" t="s">
        <v>286</v>
      </c>
      <c r="Y4" s="169"/>
    </row>
    <row r="5" spans="1:27">
      <c r="A5" s="155"/>
      <c r="B5" s="158"/>
      <c r="C5" s="168" t="str">
        <f t="shared" ref="C5:C23" si="0">+E5 &amp; " Equity"</f>
        <v>RB/ LN Equity</v>
      </c>
      <c r="D5" s="173" t="e">
        <f ca="1">_xll.BDP($C5,"Short_Name")</f>
        <v>#NAME?</v>
      </c>
      <c r="E5" s="174" t="s">
        <v>287</v>
      </c>
      <c r="F5" s="175" t="e">
        <f ca="1">_xll.BDP($C5,"Country")</f>
        <v>#NAME?</v>
      </c>
      <c r="G5" s="175" t="e">
        <f ca="1">_xll.BDP($C5,"GICS_SECTOR_NAME")</f>
        <v>#NAME?</v>
      </c>
      <c r="H5" s="175" t="e">
        <f ca="1">_xll.BDP($C5,"PX_LAST")</f>
        <v>#NAME?</v>
      </c>
      <c r="I5" s="176" t="e">
        <f ca="1">_xll.BDP($C5,"crncy_adj_mkt_cap","eqy_fund_crncy","USD")</f>
        <v>#NAME?</v>
      </c>
      <c r="J5" s="170" t="e">
        <f ca="1">_xll.BDP($C5,"volume_avg_30D")</f>
        <v>#NAME?</v>
      </c>
      <c r="K5" s="177" t="e">
        <f ca="1">(1+_xll.BDP($C5,"CHG_PCT_1d")/100)*(1+AF5)-1</f>
        <v>#NAME?</v>
      </c>
      <c r="L5" s="177" t="e">
        <f ca="1">(1+_xll.BDP($C5,"CHG_PCT_5d")/100)*(1+AG5)-1</f>
        <v>#NAME?</v>
      </c>
      <c r="M5" s="177" t="e">
        <f ca="1">(1+_xll.BDP($C5,"CHG_PCT_1M")/100)*(1+AH5)-1</f>
        <v>#NAME?</v>
      </c>
      <c r="N5" s="177" t="e">
        <f ca="1">(1+_xll.BDP($C5,"CHG_PCT_3M")/100)*(1+AI5)-1</f>
        <v>#NAME?</v>
      </c>
      <c r="O5" s="177" t="e">
        <f ca="1">(1+_xll.BDP($C5,"CHG_PCT_YTD")/100)*(1+AJ5)-1</f>
        <v>#NAME?</v>
      </c>
      <c r="P5" s="177" t="e">
        <f ca="1">(1+_xll.BDP($C5,"CHG_PCT_1YR")/100)*(1+AK5)-1</f>
        <v>#NAME?</v>
      </c>
      <c r="Q5" s="175" t="e">
        <f ca="1">_xll.BDP($C5,"low_52week")</f>
        <v>#NAME?</v>
      </c>
      <c r="R5" s="175" t="e">
        <f ca="1">_xll.BDP($C5,"high_52week")</f>
        <v>#NAME?</v>
      </c>
      <c r="S5" s="175" t="e">
        <f ca="1">_xll.BDP($C5,"BEST_PX_BPS_RATIO")</f>
        <v>#NAME?</v>
      </c>
      <c r="T5" s="175" t="e">
        <f ca="1">_xll.BDP($C5,"PX_to_sales_ratio")</f>
        <v>#NAME?</v>
      </c>
      <c r="U5" s="175" t="e">
        <f ca="1">_xll.BDP($C5,"BEST_EST_PE_NXT_YR")</f>
        <v>#NAME?</v>
      </c>
      <c r="V5" s="175" t="e">
        <f ca="1">_xll.BDP($C5,"EST_EV_NEXT_YR_EBITDA")</f>
        <v>#NAME?</v>
      </c>
      <c r="W5" s="175" t="e">
        <f ca="1">_xll.BDP($C5,"latest_announcement_dt")</f>
        <v>#NAME?</v>
      </c>
      <c r="X5" s="175" t="e">
        <f ca="1">_xll.BDP($C5,"expected_report_dt")</f>
        <v>#NAME?</v>
      </c>
      <c r="Y5" s="175"/>
      <c r="AA5" s="178"/>
    </row>
    <row r="6" spans="1:27">
      <c r="A6" s="155"/>
      <c r="B6" s="158"/>
      <c r="C6" s="168" t="str">
        <f t="shared" si="0"/>
        <v>HUVr Equity</v>
      </c>
      <c r="D6" s="173" t="e">
        <f ca="1">_xll.BDP($C6,"Short_Name")</f>
        <v>#NAME?</v>
      </c>
      <c r="E6" s="174" t="s">
        <v>288</v>
      </c>
      <c r="F6" s="175" t="e">
        <f ca="1">_xll.BDP($C6,"Country")</f>
        <v>#NAME?</v>
      </c>
      <c r="G6" s="175" t="e">
        <f ca="1">_xll.BDP($C6,"GICS_SECTOR_NAME")</f>
        <v>#NAME?</v>
      </c>
      <c r="H6" s="175" t="e">
        <f ca="1">_xll.BDP($C6,"PX_LAST")</f>
        <v>#NAME?</v>
      </c>
      <c r="I6" s="176" t="e">
        <f ca="1">_xll.BDP($C6,"crncy_adj_mkt_cap","eqy_fund_crncy","USD")</f>
        <v>#NAME?</v>
      </c>
      <c r="J6" s="170" t="e">
        <f ca="1">_xll.BDP($C6,"volume_avg_30D")</f>
        <v>#NAME?</v>
      </c>
      <c r="K6" s="177" t="e">
        <f ca="1">(1+_xll.BDP($C6,"CHG_PCT_1d")/100)*(1+AF6)-1</f>
        <v>#NAME?</v>
      </c>
      <c r="L6" s="177" t="e">
        <f ca="1">(1+_xll.BDP($C6,"CHG_PCT_5d")/100)*(1+AG6)-1</f>
        <v>#NAME?</v>
      </c>
      <c r="M6" s="177" t="e">
        <f ca="1">(1+_xll.BDP($C6,"CHG_PCT_1M")/100)*(1+AH6)-1</f>
        <v>#NAME?</v>
      </c>
      <c r="N6" s="177" t="e">
        <f ca="1">(1+_xll.BDP($C6,"CHG_PCT_3M")/100)*(1+AI6)-1</f>
        <v>#NAME?</v>
      </c>
      <c r="O6" s="177" t="e">
        <f ca="1">(1+_xll.BDP($C6,"CHG_PCT_YTD")/100)*(1+AJ6)-1</f>
        <v>#NAME?</v>
      </c>
      <c r="P6" s="177" t="e">
        <f ca="1">(1+_xll.BDP($C6,"CHG_PCT_1YR")/100)*(1+AK6)-1</f>
        <v>#NAME?</v>
      </c>
      <c r="Q6" s="175" t="e">
        <f ca="1">_xll.BDP($C6,"low_52week")</f>
        <v>#NAME?</v>
      </c>
      <c r="R6" s="175" t="e">
        <f ca="1">_xll.BDP($C6,"high_52week")</f>
        <v>#NAME?</v>
      </c>
      <c r="S6" s="175" t="e">
        <f ca="1">_xll.BDP($C6,"BEST_PX_BPS_RATIO")</f>
        <v>#NAME?</v>
      </c>
      <c r="T6" s="175" t="e">
        <f ca="1">_xll.BDP($C6,"PX_to_sales_ratio")</f>
        <v>#NAME?</v>
      </c>
      <c r="U6" s="175" t="e">
        <f ca="1">_xll.BDP($C6,"BEST_EST_PE_NXT_YR")</f>
        <v>#NAME?</v>
      </c>
      <c r="V6" s="175" t="e">
        <f ca="1">_xll.BDP($C6,"EST_EV_NEXT_YR_EBITDA")</f>
        <v>#NAME?</v>
      </c>
      <c r="W6" s="175" t="e">
        <f ca="1">_xll.BDP($C6,"latest_announcement_dt")</f>
        <v>#NAME?</v>
      </c>
      <c r="X6" s="175" t="e">
        <f ca="1">_xll.BDP($C6,"expected_report_dt")</f>
        <v>#NAME?</v>
      </c>
      <c r="AA6" s="178"/>
    </row>
    <row r="7" spans="1:27">
      <c r="A7" s="155"/>
      <c r="B7" s="158"/>
      <c r="C7" s="168" t="str">
        <f t="shared" si="0"/>
        <v>8113 JP Equity</v>
      </c>
      <c r="D7" s="173" t="e">
        <f ca="1">_xll.BDP($C7,"Short_Name")</f>
        <v>#NAME?</v>
      </c>
      <c r="E7" s="174" t="s">
        <v>289</v>
      </c>
      <c r="F7" s="175" t="e">
        <f ca="1">_xll.BDP($C7,"Country")</f>
        <v>#NAME?</v>
      </c>
      <c r="G7" s="175" t="e">
        <f ca="1">_xll.BDP($C7,"GICS_SECTOR_NAME")</f>
        <v>#NAME?</v>
      </c>
      <c r="H7" s="175" t="e">
        <f ca="1">_xll.BDP($C7,"PX_LAST")</f>
        <v>#NAME?</v>
      </c>
      <c r="I7" s="176" t="e">
        <f ca="1">_xll.BDP($C7,"crncy_adj_mkt_cap","eqy_fund_crncy","USD")</f>
        <v>#NAME?</v>
      </c>
      <c r="J7" s="170" t="e">
        <f ca="1">_xll.BDP($C7,"volume_avg_30D")</f>
        <v>#NAME?</v>
      </c>
      <c r="K7" s="177" t="e">
        <f ca="1">(1+_xll.BDP($C7,"CHG_PCT_1d")/100)*(1+AF7)-1</f>
        <v>#NAME?</v>
      </c>
      <c r="L7" s="177" t="e">
        <f ca="1">(1+_xll.BDP($C7,"CHG_PCT_5d")/100)*(1+AG7)-1</f>
        <v>#NAME?</v>
      </c>
      <c r="M7" s="177" t="e">
        <f ca="1">(1+_xll.BDP($C7,"CHG_PCT_1M")/100)*(1+AH7)-1</f>
        <v>#NAME?</v>
      </c>
      <c r="N7" s="177" t="e">
        <f ca="1">(1+_xll.BDP($C7,"CHG_PCT_3M")/100)*(1+AI7)-1</f>
        <v>#NAME?</v>
      </c>
      <c r="O7" s="177" t="e">
        <f ca="1">(1+_xll.BDP($C7,"CHG_PCT_YTD")/100)*(1+AJ7)-1</f>
        <v>#NAME?</v>
      </c>
      <c r="P7" s="177" t="e">
        <f ca="1">(1+_xll.BDP($C7,"CHG_PCT_1YR")/100)*(1+AK7)-1</f>
        <v>#NAME?</v>
      </c>
      <c r="Q7" s="175" t="e">
        <f ca="1">_xll.BDP($C7,"low_52week")</f>
        <v>#NAME?</v>
      </c>
      <c r="R7" s="175" t="e">
        <f ca="1">_xll.BDP($C7,"high_52week")</f>
        <v>#NAME?</v>
      </c>
      <c r="S7" s="175" t="e">
        <f ca="1">_xll.BDP($C7,"BEST_PX_BPS_RATIO")</f>
        <v>#NAME?</v>
      </c>
      <c r="T7" s="175" t="e">
        <f ca="1">_xll.BDP($C7,"PX_to_sales_ratio")</f>
        <v>#NAME?</v>
      </c>
      <c r="U7" s="175" t="e">
        <f ca="1">_xll.BDP($C7,"BEST_EST_PE_NXT_YR")</f>
        <v>#NAME?</v>
      </c>
      <c r="V7" s="175" t="e">
        <f ca="1">_xll.BDP($C7,"EST_EV_NEXT_YR_EBITDA")</f>
        <v>#NAME?</v>
      </c>
      <c r="W7" s="175" t="e">
        <f ca="1">_xll.BDP($C7,"latest_announcement_dt")</f>
        <v>#NAME?</v>
      </c>
      <c r="X7" s="175" t="e">
        <f ca="1">_xll.BDP($C7,"expected_report_dt")</f>
        <v>#NAME?</v>
      </c>
      <c r="AA7" s="178"/>
    </row>
    <row r="8" spans="1:27">
      <c r="A8" s="155"/>
      <c r="B8" s="158"/>
      <c r="C8" s="168" t="str">
        <f t="shared" si="0"/>
        <v>EL US Equity</v>
      </c>
      <c r="D8" s="173" t="e">
        <f ca="1">_xll.BDP($C8,"Short_Name")</f>
        <v>#NAME?</v>
      </c>
      <c r="E8" s="174" t="s">
        <v>290</v>
      </c>
      <c r="F8" s="175" t="e">
        <f ca="1">_xll.BDP($C8,"Country")</f>
        <v>#NAME?</v>
      </c>
      <c r="G8" s="175" t="e">
        <f ca="1">_xll.BDP($C8,"GICS_SECTOR_NAME")</f>
        <v>#NAME?</v>
      </c>
      <c r="H8" s="175" t="e">
        <f ca="1">_xll.BDP($C8,"PX_LAST")</f>
        <v>#NAME?</v>
      </c>
      <c r="I8" s="176" t="e">
        <f ca="1">_xll.BDP($C8,"crncy_adj_mkt_cap","eqy_fund_crncy","USD")</f>
        <v>#NAME?</v>
      </c>
      <c r="J8" s="170" t="e">
        <f ca="1">_xll.BDP($C8,"volume_avg_30D")</f>
        <v>#NAME?</v>
      </c>
      <c r="K8" s="177" t="e">
        <f ca="1">(1+_xll.BDP($C8,"CHG_PCT_1d")/100)*(1+AF8)-1</f>
        <v>#NAME?</v>
      </c>
      <c r="L8" s="177" t="e">
        <f ca="1">(1+_xll.BDP($C8,"CHG_PCT_5d")/100)*(1+AG8)-1</f>
        <v>#NAME?</v>
      </c>
      <c r="M8" s="177" t="e">
        <f ca="1">(1+_xll.BDP($C8,"CHG_PCT_1M")/100)*(1+AH8)-1</f>
        <v>#NAME?</v>
      </c>
      <c r="N8" s="177" t="e">
        <f ca="1">(1+_xll.BDP($C8,"CHG_PCT_3M")/100)*(1+AI8)-1</f>
        <v>#NAME?</v>
      </c>
      <c r="O8" s="177" t="e">
        <f ca="1">(1+_xll.BDP($C8,"CHG_PCT_YTD")/100)*(1+AJ8)-1</f>
        <v>#NAME?</v>
      </c>
      <c r="P8" s="177" t="e">
        <f ca="1">(1+_xll.BDP($C8,"CHG_PCT_1YR")/100)*(1+AK8)-1</f>
        <v>#NAME?</v>
      </c>
      <c r="Q8" s="175" t="e">
        <f ca="1">_xll.BDP($C8,"low_52week")</f>
        <v>#NAME?</v>
      </c>
      <c r="R8" s="175" t="e">
        <f ca="1">_xll.BDP($C8,"high_52week")</f>
        <v>#NAME?</v>
      </c>
      <c r="S8" s="175" t="e">
        <f ca="1">_xll.BDP($C8,"BEST_PX_BPS_RATIO")</f>
        <v>#NAME?</v>
      </c>
      <c r="T8" s="175" t="e">
        <f ca="1">_xll.BDP($C8,"PX_to_sales_ratio")</f>
        <v>#NAME?</v>
      </c>
      <c r="U8" s="175" t="e">
        <f ca="1">_xll.BDP($C8,"BEST_EST_PE_NXT_YR")</f>
        <v>#NAME?</v>
      </c>
      <c r="V8" s="175" t="e">
        <f ca="1">_xll.BDP($C8,"EST_EV_NEXT_YR_EBITDA")</f>
        <v>#NAME?</v>
      </c>
      <c r="W8" s="175" t="e">
        <f ca="1">_xll.BDP($C8,"latest_announcement_dt")</f>
        <v>#NAME?</v>
      </c>
      <c r="X8" s="175" t="e">
        <f ca="1">_xll.BDP($C8,"expected_report_dt")</f>
        <v>#NAME?</v>
      </c>
      <c r="AA8" s="178"/>
    </row>
    <row r="9" spans="1:27">
      <c r="A9" s="155"/>
      <c r="B9" s="158"/>
      <c r="C9" s="168" t="str">
        <f t="shared" si="0"/>
        <v>bei gy Equity</v>
      </c>
      <c r="D9" s="173" t="e">
        <f ca="1">_xll.BDP($C9,"Short_Name")</f>
        <v>#NAME?</v>
      </c>
      <c r="E9" s="174" t="s">
        <v>291</v>
      </c>
      <c r="F9" s="175" t="e">
        <f ca="1">_xll.BDP($C9,"Country")</f>
        <v>#NAME?</v>
      </c>
      <c r="G9" s="175" t="e">
        <f ca="1">_xll.BDP($C9,"GICS_SECTOR_NAME")</f>
        <v>#NAME?</v>
      </c>
      <c r="H9" s="175" t="e">
        <f ca="1">_xll.BDP($C9,"PX_LAST")</f>
        <v>#NAME?</v>
      </c>
      <c r="I9" s="176" t="e">
        <f ca="1">_xll.BDP($C9,"crncy_adj_mkt_cap","eqy_fund_crncy","USD")</f>
        <v>#NAME?</v>
      </c>
      <c r="J9" s="170" t="e">
        <f ca="1">_xll.BDP($C9,"volume_avg_30D")</f>
        <v>#NAME?</v>
      </c>
      <c r="K9" s="177" t="e">
        <f ca="1">(1+_xll.BDP($C9,"CHG_PCT_1d")/100)*(1+AF9)-1</f>
        <v>#NAME?</v>
      </c>
      <c r="L9" s="177" t="e">
        <f ca="1">(1+_xll.BDP($C9,"CHG_PCT_5d")/100)*(1+AG9)-1</f>
        <v>#NAME?</v>
      </c>
      <c r="M9" s="177" t="e">
        <f ca="1">(1+_xll.BDP($C9,"CHG_PCT_1M")/100)*(1+AH9)-1</f>
        <v>#NAME?</v>
      </c>
      <c r="N9" s="177" t="e">
        <f ca="1">(1+_xll.BDP($C9,"CHG_PCT_3M")/100)*(1+AI9)-1</f>
        <v>#NAME?</v>
      </c>
      <c r="O9" s="177" t="e">
        <f ca="1">(1+_xll.BDP($C9,"CHG_PCT_YTD")/100)*(1+AJ9)-1</f>
        <v>#NAME?</v>
      </c>
      <c r="P9" s="177" t="e">
        <f ca="1">(1+_xll.BDP($C9,"CHG_PCT_1YR")/100)*(1+AK9)-1</f>
        <v>#NAME?</v>
      </c>
      <c r="Q9" s="175" t="e">
        <f ca="1">_xll.BDP($C9,"low_52week")</f>
        <v>#NAME?</v>
      </c>
      <c r="R9" s="175" t="e">
        <f ca="1">_xll.BDP($C9,"high_52week")</f>
        <v>#NAME?</v>
      </c>
      <c r="S9" s="175" t="e">
        <f ca="1">_xll.BDP($C9,"BEST_PX_BPS_RATIO")</f>
        <v>#NAME?</v>
      </c>
      <c r="T9" s="175" t="e">
        <f ca="1">_xll.BDP($C9,"PX_to_sales_ratio")</f>
        <v>#NAME?</v>
      </c>
      <c r="U9" s="175" t="e">
        <f ca="1">_xll.BDP($C9,"BEST_EST_PE_NXT_YR")</f>
        <v>#NAME?</v>
      </c>
      <c r="V9" s="175" t="e">
        <f ca="1">_xll.BDP($C9,"EST_EV_NEXT_YR_EBITDA")</f>
        <v>#NAME?</v>
      </c>
      <c r="W9" s="175" t="e">
        <f ca="1">_xll.BDP($C9,"latest_announcement_dt")</f>
        <v>#NAME?</v>
      </c>
      <c r="X9" s="175" t="e">
        <f ca="1">_xll.BDP($C9,"expected_report_dt")</f>
        <v>#NAME?</v>
      </c>
      <c r="AA9" s="178"/>
    </row>
    <row r="10" spans="1:27">
      <c r="A10" s="155"/>
      <c r="B10" s="158"/>
      <c r="C10" s="168" t="str">
        <f t="shared" si="0"/>
        <v>CLX US Equity</v>
      </c>
      <c r="D10" s="173" t="e">
        <f ca="1">_xll.BDP($C10,"Short_Name")</f>
        <v>#NAME?</v>
      </c>
      <c r="E10" s="174" t="s">
        <v>292</v>
      </c>
      <c r="F10" s="175" t="e">
        <f ca="1">_xll.BDP($C10,"Country")</f>
        <v>#NAME?</v>
      </c>
      <c r="G10" s="175" t="e">
        <f ca="1">_xll.BDP($C10,"GICS_SECTOR_NAME")</f>
        <v>#NAME?</v>
      </c>
      <c r="H10" s="175" t="e">
        <f ca="1">_xll.BDP($C10,"PX_LAST")</f>
        <v>#NAME?</v>
      </c>
      <c r="I10" s="176" t="e">
        <f ca="1">_xll.BDP($C10,"crncy_adj_mkt_cap","eqy_fund_crncy","USD")</f>
        <v>#NAME?</v>
      </c>
      <c r="J10" s="170" t="e">
        <f ca="1">_xll.BDP($C10,"volume_avg_30D")</f>
        <v>#NAME?</v>
      </c>
      <c r="K10" s="177" t="e">
        <f ca="1">(1+_xll.BDP($C10,"CHG_PCT_1d")/100)*(1+AF10)-1</f>
        <v>#NAME?</v>
      </c>
      <c r="L10" s="177" t="e">
        <f ca="1">(1+_xll.BDP($C10,"CHG_PCT_5d")/100)*(1+AG10)-1</f>
        <v>#NAME?</v>
      </c>
      <c r="M10" s="177" t="e">
        <f ca="1">(1+_xll.BDP($C10,"CHG_PCT_1M")/100)*(1+AH10)-1</f>
        <v>#NAME?</v>
      </c>
      <c r="N10" s="177" t="e">
        <f ca="1">(1+_xll.BDP($C10,"CHG_PCT_3M")/100)*(1+AI10)-1</f>
        <v>#NAME?</v>
      </c>
      <c r="O10" s="177" t="e">
        <f ca="1">(1+_xll.BDP($C10,"CHG_PCT_YTD")/100)*(1+AJ10)-1</f>
        <v>#NAME?</v>
      </c>
      <c r="P10" s="177" t="e">
        <f ca="1">(1+_xll.BDP($C10,"CHG_PCT_1YR")/100)*(1+AK10)-1</f>
        <v>#NAME?</v>
      </c>
      <c r="Q10" s="175" t="e">
        <f ca="1">_xll.BDP($C10,"low_52week")</f>
        <v>#NAME?</v>
      </c>
      <c r="R10" s="175" t="e">
        <f ca="1">_xll.BDP($C10,"high_52week")</f>
        <v>#NAME?</v>
      </c>
      <c r="S10" s="175" t="e">
        <f ca="1">_xll.BDP($C10,"BEST_PX_BPS_RATIO")</f>
        <v>#NAME?</v>
      </c>
      <c r="T10" s="175" t="e">
        <f ca="1">_xll.BDP($C10,"PX_to_sales_ratio")</f>
        <v>#NAME?</v>
      </c>
      <c r="U10" s="175" t="e">
        <f ca="1">_xll.BDP($C10,"BEST_EST_PE_NXT_YR")</f>
        <v>#NAME?</v>
      </c>
      <c r="V10" s="175" t="e">
        <f ca="1">_xll.BDP($C10,"EST_EV_NEXT_YR_EBITDA")</f>
        <v>#NAME?</v>
      </c>
      <c r="W10" s="175" t="e">
        <f ca="1">_xll.BDP($C10,"latest_announcement_dt")</f>
        <v>#NAME?</v>
      </c>
      <c r="X10" s="175" t="e">
        <f ca="1">_xll.BDP($C10,"expected_report_dt")</f>
        <v>#NAME?</v>
      </c>
      <c r="AA10" s="178"/>
    </row>
    <row r="11" spans="1:27">
      <c r="A11" s="155"/>
      <c r="B11" s="155"/>
      <c r="C11" s="168" t="str">
        <f t="shared" si="0"/>
        <v>UNVR IJ Equity</v>
      </c>
      <c r="D11" s="173" t="e">
        <f ca="1">_xll.BDP($C11,"Short_Name")</f>
        <v>#NAME?</v>
      </c>
      <c r="E11" s="174" t="s">
        <v>293</v>
      </c>
      <c r="F11" s="175" t="e">
        <f ca="1">_xll.BDP($C11,"Country")</f>
        <v>#NAME?</v>
      </c>
      <c r="G11" s="175" t="e">
        <f ca="1">_xll.BDP($C11,"GICS_SECTOR_NAME")</f>
        <v>#NAME?</v>
      </c>
      <c r="H11" s="175" t="e">
        <f ca="1">_xll.BDP($C11,"PX_LAST")</f>
        <v>#NAME?</v>
      </c>
      <c r="I11" s="176" t="e">
        <f ca="1">_xll.BDP($C11,"crncy_adj_mkt_cap","eqy_fund_crncy","USD")</f>
        <v>#NAME?</v>
      </c>
      <c r="J11" s="170" t="e">
        <f ca="1">_xll.BDP($C11,"volume_avg_30D")</f>
        <v>#NAME?</v>
      </c>
      <c r="K11" s="177" t="e">
        <f ca="1">(1+_xll.BDP($C11,"CHG_PCT_1d")/100)*(1+AF11)-1</f>
        <v>#NAME?</v>
      </c>
      <c r="L11" s="177" t="e">
        <f ca="1">(1+_xll.BDP($C11,"CHG_PCT_5d")/100)*(1+AG11)-1</f>
        <v>#NAME?</v>
      </c>
      <c r="M11" s="177" t="e">
        <f ca="1">(1+_xll.BDP($C11,"CHG_PCT_1M")/100)*(1+AH11)-1</f>
        <v>#NAME?</v>
      </c>
      <c r="N11" s="177" t="e">
        <f ca="1">(1+_xll.BDP($C11,"CHG_PCT_3M")/100)*(1+AI11)-1</f>
        <v>#NAME?</v>
      </c>
      <c r="O11" s="177" t="e">
        <f ca="1">(1+_xll.BDP($C11,"CHG_PCT_YTD")/100)*(1+AJ11)-1</f>
        <v>#NAME?</v>
      </c>
      <c r="P11" s="177" t="e">
        <f ca="1">(1+_xll.BDP($C11,"CHG_PCT_1YR")/100)*(1+AK11)-1</f>
        <v>#NAME?</v>
      </c>
      <c r="Q11" s="175" t="e">
        <f ca="1">_xll.BDP($C11,"low_52week")</f>
        <v>#NAME?</v>
      </c>
      <c r="R11" s="175" t="e">
        <f ca="1">_xll.BDP($C11,"high_52week")</f>
        <v>#NAME?</v>
      </c>
      <c r="S11" s="175" t="e">
        <f ca="1">_xll.BDP($C11,"BEST_PX_BPS_RATIO")</f>
        <v>#NAME?</v>
      </c>
      <c r="T11" s="175" t="e">
        <f ca="1">_xll.BDP($C11,"PX_to_sales_ratio")</f>
        <v>#NAME?</v>
      </c>
      <c r="U11" s="175" t="e">
        <f ca="1">_xll.BDP($C11,"BEST_EST_PE_NXT_YR")</f>
        <v>#NAME?</v>
      </c>
      <c r="V11" s="175" t="e">
        <f ca="1">_xll.BDP($C11,"EST_EV_NEXT_YR_EBITDA")</f>
        <v>#NAME?</v>
      </c>
      <c r="W11" s="175" t="e">
        <f ca="1">_xll.BDP($C11,"latest_announcement_dt")</f>
        <v>#NAME?</v>
      </c>
      <c r="X11" s="175" t="e">
        <f ca="1">_xll.BDP($C11,"expected_report_dt")</f>
        <v>#NAME?</v>
      </c>
      <c r="AA11" s="178"/>
    </row>
    <row r="12" spans="1:27">
      <c r="A12" s="155"/>
      <c r="B12" s="155"/>
      <c r="C12" s="168" t="str">
        <f t="shared" si="0"/>
        <v>CHD US Equity</v>
      </c>
      <c r="D12" s="173" t="e">
        <f ca="1">_xll.BDP($C12,"Short_Name")</f>
        <v>#NAME?</v>
      </c>
      <c r="E12" s="174" t="s">
        <v>294</v>
      </c>
      <c r="F12" s="175" t="e">
        <f ca="1">_xll.BDP($C12,"Country")</f>
        <v>#NAME?</v>
      </c>
      <c r="G12" s="175" t="e">
        <f ca="1">_xll.BDP($C12,"GICS_SECTOR_NAME")</f>
        <v>#NAME?</v>
      </c>
      <c r="H12" s="175" t="e">
        <f ca="1">_xll.BDP($C12,"PX_LAST")</f>
        <v>#NAME?</v>
      </c>
      <c r="I12" s="176" t="e">
        <f ca="1">_xll.BDP($C12,"crncy_adj_mkt_cap","eqy_fund_crncy","USD")</f>
        <v>#NAME?</v>
      </c>
      <c r="J12" s="170" t="e">
        <f ca="1">_xll.BDP($C12,"volume_avg_30D")</f>
        <v>#NAME?</v>
      </c>
      <c r="K12" s="177" t="e">
        <f ca="1">(1+_xll.BDP($C12,"CHG_PCT_1d")/100)*(1+AF12)-1</f>
        <v>#NAME?</v>
      </c>
      <c r="L12" s="177" t="e">
        <f ca="1">(1+_xll.BDP($C12,"CHG_PCT_5d")/100)*(1+AG12)-1</f>
        <v>#NAME?</v>
      </c>
      <c r="M12" s="177" t="e">
        <f ca="1">(1+_xll.BDP($C12,"CHG_PCT_1M")/100)*(1+AH12)-1</f>
        <v>#NAME?</v>
      </c>
      <c r="N12" s="177" t="e">
        <f ca="1">(1+_xll.BDP($C12,"CHG_PCT_3M")/100)*(1+AI12)-1</f>
        <v>#NAME?</v>
      </c>
      <c r="O12" s="177" t="e">
        <f ca="1">(1+_xll.BDP($C12,"CHG_PCT_YTD")/100)*(1+AJ12)-1</f>
        <v>#NAME?</v>
      </c>
      <c r="P12" s="177" t="e">
        <f ca="1">(1+_xll.BDP($C12,"CHG_PCT_1YR")/100)*(1+AK12)-1</f>
        <v>#NAME?</v>
      </c>
      <c r="Q12" s="175" t="e">
        <f ca="1">_xll.BDP($C12,"low_52week")</f>
        <v>#NAME?</v>
      </c>
      <c r="R12" s="175" t="e">
        <f ca="1">_xll.BDP($C12,"high_52week")</f>
        <v>#NAME?</v>
      </c>
      <c r="S12" s="175" t="e">
        <f ca="1">_xll.BDP($C12,"BEST_PX_BPS_RATIO")</f>
        <v>#NAME?</v>
      </c>
      <c r="T12" s="175" t="e">
        <f ca="1">_xll.BDP($C12,"PX_to_sales_ratio")</f>
        <v>#NAME?</v>
      </c>
      <c r="U12" s="175" t="e">
        <f ca="1">_xll.BDP($C12,"BEST_EST_PE_NXT_YR")</f>
        <v>#NAME?</v>
      </c>
      <c r="V12" s="175" t="e">
        <f ca="1">_xll.BDP($C12,"EST_EV_NEXT_YR_EBITDA")</f>
        <v>#NAME?</v>
      </c>
      <c r="W12" s="175" t="e">
        <f ca="1">_xll.BDP($C12,"latest_announcement_dt")</f>
        <v>#NAME?</v>
      </c>
      <c r="X12" s="175" t="e">
        <f ca="1">_xll.BDP($C12,"expected_report_dt")</f>
        <v>#NAME?</v>
      </c>
      <c r="AA12" s="178"/>
    </row>
    <row r="13" spans="1:27">
      <c r="A13" s="155"/>
      <c r="B13" s="155"/>
      <c r="C13" s="168" t="str">
        <f t="shared" si="0"/>
        <v>CL US Equity</v>
      </c>
      <c r="D13" s="173" t="e">
        <f ca="1">_xll.BDP($C13,"Short_Name")</f>
        <v>#NAME?</v>
      </c>
      <c r="E13" s="174" t="s">
        <v>295</v>
      </c>
      <c r="F13" s="175" t="e">
        <f ca="1">_xll.BDP($C13,"Country")</f>
        <v>#NAME?</v>
      </c>
      <c r="G13" s="175" t="e">
        <f ca="1">_xll.BDP($C13,"GICS_SECTOR_NAME")</f>
        <v>#NAME?</v>
      </c>
      <c r="H13" s="175" t="e">
        <f ca="1">_xll.BDP($C13,"PX_LAST")</f>
        <v>#NAME?</v>
      </c>
      <c r="I13" s="176" t="e">
        <f ca="1">_xll.BDP($C13,"crncy_adj_mkt_cap","eqy_fund_crncy","USD")</f>
        <v>#NAME?</v>
      </c>
      <c r="J13" s="170" t="e">
        <f ca="1">_xll.BDP($C13,"volume_avg_30D")</f>
        <v>#NAME?</v>
      </c>
      <c r="K13" s="177" t="e">
        <f ca="1">(1+_xll.BDP($C13,"CHG_PCT_1d")/100)*(1+AF13)-1</f>
        <v>#NAME?</v>
      </c>
      <c r="L13" s="177" t="e">
        <f ca="1">(1+_xll.BDP($C13,"CHG_PCT_5d")/100)*(1+AG13)-1</f>
        <v>#NAME?</v>
      </c>
      <c r="M13" s="177" t="e">
        <f ca="1">(1+_xll.BDP($C13,"CHG_PCT_1M")/100)*(1+AH13)-1</f>
        <v>#NAME?</v>
      </c>
      <c r="N13" s="177" t="e">
        <f ca="1">(1+_xll.BDP($C13,"CHG_PCT_3M")/100)*(1+AI13)-1</f>
        <v>#NAME?</v>
      </c>
      <c r="O13" s="177" t="e">
        <f ca="1">(1+_xll.BDP($C13,"CHG_PCT_YTD")/100)*(1+AJ13)-1</f>
        <v>#NAME?</v>
      </c>
      <c r="P13" s="177" t="e">
        <f ca="1">(1+_xll.BDP($C13,"CHG_PCT_1YR")/100)*(1+AK13)-1</f>
        <v>#NAME?</v>
      </c>
      <c r="Q13" s="175" t="e">
        <f ca="1">_xll.BDP($C13,"low_52week")</f>
        <v>#NAME?</v>
      </c>
      <c r="R13" s="175" t="e">
        <f ca="1">_xll.BDP($C13,"high_52week")</f>
        <v>#NAME?</v>
      </c>
      <c r="S13" s="175" t="e">
        <f ca="1">_xll.BDP($C13,"BEST_PX_BPS_RATIO")</f>
        <v>#NAME?</v>
      </c>
      <c r="T13" s="175" t="e">
        <f ca="1">_xll.BDP($C13,"PX_to_sales_ratio")</f>
        <v>#NAME?</v>
      </c>
      <c r="U13" s="175" t="e">
        <f ca="1">_xll.BDP($C13,"BEST_EST_PE_NXT_YR")</f>
        <v>#NAME?</v>
      </c>
      <c r="V13" s="175" t="e">
        <f ca="1">_xll.BDP($C13,"EST_EV_NEXT_YR_EBITDA")</f>
        <v>#NAME?</v>
      </c>
      <c r="W13" s="175" t="e">
        <f ca="1">_xll.BDP($C13,"latest_announcement_dt")</f>
        <v>#NAME?</v>
      </c>
      <c r="X13" s="175" t="e">
        <f ca="1">_xll.BDP($C13,"expected_report_dt")</f>
        <v>#NAME?</v>
      </c>
      <c r="AA13" s="178"/>
    </row>
    <row r="14" spans="1:27">
      <c r="A14" s="155"/>
      <c r="B14" s="155"/>
      <c r="C14" s="168" t="str">
        <f t="shared" si="0"/>
        <v>PG US Equity</v>
      </c>
      <c r="D14" s="173" t="e">
        <f ca="1">_xll.BDP($C14,"Short_Name")</f>
        <v>#NAME?</v>
      </c>
      <c r="E14" s="174" t="s">
        <v>296</v>
      </c>
      <c r="F14" s="175" t="e">
        <f ca="1">_xll.BDP($C14,"Country")</f>
        <v>#NAME?</v>
      </c>
      <c r="G14" s="175" t="e">
        <f ca="1">_xll.BDP($C14,"GICS_SECTOR_NAME")</f>
        <v>#NAME?</v>
      </c>
      <c r="H14" s="175" t="e">
        <f ca="1">_xll.BDP($C14,"PX_LAST")</f>
        <v>#NAME?</v>
      </c>
      <c r="I14" s="176" t="e">
        <f ca="1">_xll.BDP($C14,"crncy_adj_mkt_cap","eqy_fund_crncy","USD")</f>
        <v>#NAME?</v>
      </c>
      <c r="J14" s="170" t="e">
        <f ca="1">_xll.BDP($C14,"volume_avg_30D")</f>
        <v>#NAME?</v>
      </c>
      <c r="K14" s="177" t="e">
        <f ca="1">(1+_xll.BDP($C14,"CHG_PCT_1d")/100)*(1+AF14)-1</f>
        <v>#NAME?</v>
      </c>
      <c r="L14" s="177" t="e">
        <f ca="1">(1+_xll.BDP($C14,"CHG_PCT_5d")/100)*(1+AG14)-1</f>
        <v>#NAME?</v>
      </c>
      <c r="M14" s="177" t="e">
        <f ca="1">(1+_xll.BDP($C14,"CHG_PCT_1M")/100)*(1+AH14)-1</f>
        <v>#NAME?</v>
      </c>
      <c r="N14" s="177" t="e">
        <f ca="1">(1+_xll.BDP($C14,"CHG_PCT_3M")/100)*(1+AI14)-1</f>
        <v>#NAME?</v>
      </c>
      <c r="O14" s="177" t="e">
        <f ca="1">(1+_xll.BDP($C14,"CHG_PCT_YTD")/100)*(1+AJ14)-1</f>
        <v>#NAME?</v>
      </c>
      <c r="P14" s="177" t="e">
        <f ca="1">(1+_xll.BDP($C14,"CHG_PCT_1YR")/100)*(1+AK14)-1</f>
        <v>#NAME?</v>
      </c>
      <c r="Q14" s="175" t="e">
        <f ca="1">_xll.BDP($C14,"low_52week")</f>
        <v>#NAME?</v>
      </c>
      <c r="R14" s="175" t="e">
        <f ca="1">_xll.BDP($C14,"high_52week")</f>
        <v>#NAME?</v>
      </c>
      <c r="S14" s="175" t="e">
        <f ca="1">_xll.BDP($C14,"BEST_PX_BPS_RATIO")</f>
        <v>#NAME?</v>
      </c>
      <c r="T14" s="175" t="e">
        <f ca="1">_xll.BDP($C14,"PX_to_sales_ratio")</f>
        <v>#NAME?</v>
      </c>
      <c r="U14" s="175" t="e">
        <f ca="1">_xll.BDP($C14,"BEST_EST_PE_NXT_YR")</f>
        <v>#NAME?</v>
      </c>
      <c r="V14" s="175" t="e">
        <f ca="1">_xll.BDP($C14,"EST_EV_NEXT_YR_EBITDA")</f>
        <v>#NAME?</v>
      </c>
      <c r="W14" s="175" t="e">
        <f ca="1">_xll.BDP($C14,"latest_announcement_dt")</f>
        <v>#NAME?</v>
      </c>
      <c r="X14" s="175" t="e">
        <f ca="1">_xll.BDP($C14,"expected_report_dt")</f>
        <v>#NAME?</v>
      </c>
      <c r="AA14" s="178"/>
    </row>
    <row r="15" spans="1:27">
      <c r="A15" s="155"/>
      <c r="B15" s="155"/>
      <c r="C15" s="168" t="str">
        <f t="shared" si="0"/>
        <v>KMB US Equity</v>
      </c>
      <c r="D15" s="173" t="e">
        <f ca="1">_xll.BDP($C15,"Short_Name")</f>
        <v>#NAME?</v>
      </c>
      <c r="E15" s="174" t="s">
        <v>297</v>
      </c>
      <c r="F15" s="175" t="e">
        <f ca="1">_xll.BDP($C15,"Country")</f>
        <v>#NAME?</v>
      </c>
      <c r="G15" s="175" t="e">
        <f ca="1">_xll.BDP($C15,"GICS_SECTOR_NAME")</f>
        <v>#NAME?</v>
      </c>
      <c r="H15" s="175" t="e">
        <f ca="1">_xll.BDP($C15,"PX_LAST")</f>
        <v>#NAME?</v>
      </c>
      <c r="I15" s="176" t="e">
        <f ca="1">_xll.BDP($C15,"crncy_adj_mkt_cap","eqy_fund_crncy","USD")</f>
        <v>#NAME?</v>
      </c>
      <c r="J15" s="170" t="e">
        <f ca="1">_xll.BDP($C15,"volume_avg_30D")</f>
        <v>#NAME?</v>
      </c>
      <c r="K15" s="177" t="e">
        <f ca="1">(1+_xll.BDP($C15,"CHG_PCT_1d")/100)*(1+AF15)-1</f>
        <v>#NAME?</v>
      </c>
      <c r="L15" s="177" t="e">
        <f ca="1">(1+_xll.BDP($C15,"CHG_PCT_5d")/100)*(1+AG15)-1</f>
        <v>#NAME?</v>
      </c>
      <c r="M15" s="177" t="e">
        <f ca="1">(1+_xll.BDP($C15,"CHG_PCT_1M")/100)*(1+AH15)-1</f>
        <v>#NAME?</v>
      </c>
      <c r="N15" s="177" t="e">
        <f ca="1">(1+_xll.BDP($C15,"CHG_PCT_3M")/100)*(1+AI15)-1</f>
        <v>#NAME?</v>
      </c>
      <c r="O15" s="177" t="e">
        <f ca="1">(1+_xll.BDP($C15,"CHG_PCT_YTD")/100)*(1+AJ15)-1</f>
        <v>#NAME?</v>
      </c>
      <c r="P15" s="177" t="e">
        <f ca="1">(1+_xll.BDP($C15,"CHG_PCT_1YR")/100)*(1+AK15)-1</f>
        <v>#NAME?</v>
      </c>
      <c r="Q15" s="175" t="e">
        <f ca="1">_xll.BDP($C15,"low_52week")</f>
        <v>#NAME?</v>
      </c>
      <c r="R15" s="175" t="e">
        <f ca="1">_xll.BDP($C15,"high_52week")</f>
        <v>#NAME?</v>
      </c>
      <c r="S15" s="175" t="e">
        <f ca="1">_xll.BDP($C15,"BEST_PX_BPS_RATIO")</f>
        <v>#NAME?</v>
      </c>
      <c r="T15" s="175" t="e">
        <f ca="1">_xll.BDP($C15,"PX_to_sales_ratio")</f>
        <v>#NAME?</v>
      </c>
      <c r="U15" s="175" t="e">
        <f ca="1">_xll.BDP($C15,"BEST_EST_PE_NXT_YR")</f>
        <v>#NAME?</v>
      </c>
      <c r="V15" s="175" t="e">
        <f ca="1">_xll.BDP($C15,"EST_EV_NEXT_YR_EBITDA")</f>
        <v>#NAME?</v>
      </c>
      <c r="W15" s="175" t="e">
        <f ca="1">_xll.BDP($C15,"latest_announcement_dt")</f>
        <v>#NAME?</v>
      </c>
      <c r="X15" s="175" t="e">
        <f ca="1">_xll.BDP($C15,"expected_report_dt")</f>
        <v>#NAME?</v>
      </c>
      <c r="AA15" s="178"/>
    </row>
    <row r="16" spans="1:27">
      <c r="A16" s="155"/>
      <c r="B16" s="155"/>
      <c r="C16" s="168" t="str">
        <f t="shared" si="0"/>
        <v>REYN Equity</v>
      </c>
      <c r="D16" s="173" t="e">
        <f ca="1">_xll.BDP($C16,"Short_Name")</f>
        <v>#NAME?</v>
      </c>
      <c r="E16" s="174" t="s">
        <v>298</v>
      </c>
      <c r="F16" s="175" t="e">
        <f ca="1">_xll.BDP($C16,"Country")</f>
        <v>#NAME?</v>
      </c>
      <c r="G16" s="175" t="e">
        <f ca="1">_xll.BDP($C16,"GICS_SECTOR_NAME")</f>
        <v>#NAME?</v>
      </c>
      <c r="H16" s="175" t="e">
        <f ca="1">_xll.BDP($C16,"PX_LAST")</f>
        <v>#NAME?</v>
      </c>
      <c r="I16" s="176" t="e">
        <f ca="1">_xll.BDP($C16,"crncy_adj_mkt_cap","eqy_fund_crncy","USD")</f>
        <v>#NAME?</v>
      </c>
      <c r="J16" s="170" t="e">
        <f ca="1">_xll.BDP($C16,"volume_avg_30D")</f>
        <v>#NAME?</v>
      </c>
      <c r="K16" s="177" t="e">
        <f ca="1">(1+_xll.BDP($C16,"CHG_PCT_1d")/100)*(1+AF16)-1</f>
        <v>#NAME?</v>
      </c>
      <c r="L16" s="177" t="e">
        <f ca="1">(1+_xll.BDP($C16,"CHG_PCT_5d")/100)*(1+AG16)-1</f>
        <v>#NAME?</v>
      </c>
      <c r="M16" s="177" t="e">
        <f ca="1">(1+_xll.BDP($C16,"CHG_PCT_1M")/100)*(1+AH16)-1</f>
        <v>#NAME?</v>
      </c>
      <c r="N16" s="177" t="e">
        <f ca="1">(1+_xll.BDP($C16,"CHG_PCT_3M")/100)*(1+AI16)-1</f>
        <v>#NAME?</v>
      </c>
      <c r="O16" s="177" t="e">
        <f ca="1">(1+_xll.BDP($C16,"CHG_PCT_YTD")/100)*(1+AJ16)-1</f>
        <v>#NAME?</v>
      </c>
      <c r="P16" s="177" t="e">
        <f ca="1">(1+_xll.BDP($C16,"CHG_PCT_1YR")/100)*(1+AK16)-1</f>
        <v>#NAME?</v>
      </c>
      <c r="Q16" s="175" t="e">
        <f ca="1">_xll.BDP($C16,"low_52week")</f>
        <v>#NAME?</v>
      </c>
      <c r="R16" s="175" t="e">
        <f ca="1">_xll.BDP($C16,"high_52week")</f>
        <v>#NAME?</v>
      </c>
      <c r="S16" s="175" t="e">
        <f ca="1">_xll.BDP($C16,"BEST_PX_BPS_RATIO")</f>
        <v>#NAME?</v>
      </c>
      <c r="T16" s="175" t="e">
        <f ca="1">_xll.BDP($C16,"PX_to_sales_ratio")</f>
        <v>#NAME?</v>
      </c>
      <c r="U16" s="175" t="e">
        <f ca="1">_xll.BDP($C16,"BEST_EST_PE_NXT_YR")</f>
        <v>#NAME?</v>
      </c>
      <c r="V16" s="175" t="e">
        <f ca="1">_xll.BDP($C16,"EST_EV_NEXT_YR_EBITDA")</f>
        <v>#NAME?</v>
      </c>
      <c r="W16" s="175" t="e">
        <f ca="1">_xll.BDP($C16,"latest_announcement_dt")</f>
        <v>#NAME?</v>
      </c>
      <c r="X16" s="175" t="e">
        <f ca="1">_xll.BDP($C16,"expected_report_dt")</f>
        <v>#NAME?</v>
      </c>
      <c r="AA16" s="178"/>
    </row>
    <row r="17" spans="1:27">
      <c r="A17" s="155"/>
      <c r="B17" s="155"/>
      <c r="C17" s="168" t="str">
        <f t="shared" si="0"/>
        <v>ESSITYA SS Equity</v>
      </c>
      <c r="D17" s="173" t="e">
        <f ca="1">_xll.BDP($C17,"Short_Name")</f>
        <v>#NAME?</v>
      </c>
      <c r="E17" s="174" t="s">
        <v>299</v>
      </c>
      <c r="F17" s="175" t="e">
        <f ca="1">_xll.BDP($C17,"Country")</f>
        <v>#NAME?</v>
      </c>
      <c r="G17" s="175" t="e">
        <f ca="1">_xll.BDP($C17,"GICS_SECTOR_NAME")</f>
        <v>#NAME?</v>
      </c>
      <c r="H17" s="175" t="e">
        <f ca="1">_xll.BDP($C17,"PX_LAST")</f>
        <v>#NAME?</v>
      </c>
      <c r="I17" s="176" t="e">
        <f ca="1">_xll.BDP($C17,"crncy_adj_mkt_cap","eqy_fund_crncy","USD")</f>
        <v>#NAME?</v>
      </c>
      <c r="J17" s="170" t="e">
        <f ca="1">_xll.BDP($C17,"volume_avg_30D")</f>
        <v>#NAME?</v>
      </c>
      <c r="K17" s="177" t="e">
        <f ca="1">(1+_xll.BDP($C17,"CHG_PCT_1d")/100)*(1+AF17)-1</f>
        <v>#NAME?</v>
      </c>
      <c r="L17" s="177" t="e">
        <f ca="1">(1+_xll.BDP($C17,"CHG_PCT_5d")/100)*(1+AG17)-1</f>
        <v>#NAME?</v>
      </c>
      <c r="M17" s="177" t="e">
        <f ca="1">(1+_xll.BDP($C17,"CHG_PCT_1M")/100)*(1+AH17)-1</f>
        <v>#NAME?</v>
      </c>
      <c r="N17" s="177" t="e">
        <f ca="1">(1+_xll.BDP($C17,"CHG_PCT_3M")/100)*(1+AI17)-1</f>
        <v>#NAME?</v>
      </c>
      <c r="O17" s="177" t="e">
        <f ca="1">(1+_xll.BDP($C17,"CHG_PCT_YTD")/100)*(1+AJ17)-1</f>
        <v>#NAME?</v>
      </c>
      <c r="P17" s="177" t="e">
        <f ca="1">(1+_xll.BDP($C17,"CHG_PCT_1YR")/100)*(1+AK17)-1</f>
        <v>#NAME?</v>
      </c>
      <c r="Q17" s="175" t="e">
        <f ca="1">_xll.BDP($C17,"low_52week")</f>
        <v>#NAME?</v>
      </c>
      <c r="R17" s="175" t="e">
        <f ca="1">_xll.BDP($C17,"high_52week")</f>
        <v>#NAME?</v>
      </c>
      <c r="S17" s="175" t="e">
        <f ca="1">_xll.BDP($C17,"BEST_PX_BPS_RATIO")</f>
        <v>#NAME?</v>
      </c>
      <c r="T17" s="175" t="e">
        <f ca="1">_xll.BDP($C17,"PX_to_sales_ratio")</f>
        <v>#NAME?</v>
      </c>
      <c r="U17" s="175" t="e">
        <f ca="1">_xll.BDP($C17,"BEST_EST_PE_NXT_YR")</f>
        <v>#NAME?</v>
      </c>
      <c r="V17" s="175" t="e">
        <f ca="1">_xll.BDP($C17,"EST_EV_NEXT_YR_EBITDA")</f>
        <v>#NAME?</v>
      </c>
      <c r="W17" s="175" t="e">
        <f ca="1">_xll.BDP($C17,"latest_announcement_dt")</f>
        <v>#NAME?</v>
      </c>
      <c r="X17" s="175" t="e">
        <f ca="1">_xll.BDP($C17,"expected_report_dt")</f>
        <v>#NAME?</v>
      </c>
      <c r="AA17" s="178"/>
    </row>
    <row r="18" spans="1:27">
      <c r="A18" s="155"/>
      <c r="B18" s="155"/>
      <c r="C18" s="168" t="str">
        <f t="shared" si="0"/>
        <v>HEN3 GR Equity</v>
      </c>
      <c r="D18" s="173" t="e">
        <f ca="1">_xll.BDP($C18,"Short_Name")</f>
        <v>#NAME?</v>
      </c>
      <c r="E18" s="174" t="s">
        <v>300</v>
      </c>
      <c r="F18" s="175" t="e">
        <f ca="1">_xll.BDP($C18,"Country")</f>
        <v>#NAME?</v>
      </c>
      <c r="G18" s="175" t="e">
        <f ca="1">_xll.BDP($C18,"GICS_SECTOR_NAME")</f>
        <v>#NAME?</v>
      </c>
      <c r="H18" s="175" t="e">
        <f ca="1">_xll.BDP($C18,"PX_LAST")</f>
        <v>#NAME?</v>
      </c>
      <c r="I18" s="176" t="e">
        <f ca="1">_xll.BDP($C18,"crncy_adj_mkt_cap","eqy_fund_crncy","USD")</f>
        <v>#NAME?</v>
      </c>
      <c r="J18" s="170" t="e">
        <f ca="1">_xll.BDP($C18,"volume_avg_30D")</f>
        <v>#NAME?</v>
      </c>
      <c r="K18" s="177" t="e">
        <f ca="1">(1+_xll.BDP($C18,"CHG_PCT_1d")/100)*(1+AF18)-1</f>
        <v>#NAME?</v>
      </c>
      <c r="L18" s="177" t="e">
        <f ca="1">(1+_xll.BDP($C18,"CHG_PCT_5d")/100)*(1+AG18)-1</f>
        <v>#NAME?</v>
      </c>
      <c r="M18" s="177" t="e">
        <f ca="1">(1+_xll.BDP($C18,"CHG_PCT_1M")/100)*(1+AH18)-1</f>
        <v>#NAME?</v>
      </c>
      <c r="N18" s="177" t="e">
        <f ca="1">(1+_xll.BDP($C18,"CHG_PCT_3M")/100)*(1+AI18)-1</f>
        <v>#NAME?</v>
      </c>
      <c r="O18" s="177" t="e">
        <f ca="1">(1+_xll.BDP($C18,"CHG_PCT_YTD")/100)*(1+AJ18)-1</f>
        <v>#NAME?</v>
      </c>
      <c r="P18" s="177" t="e">
        <f ca="1">(1+_xll.BDP($C18,"CHG_PCT_1YR")/100)*(1+AK18)-1</f>
        <v>#NAME?</v>
      </c>
      <c r="Q18" s="175" t="e">
        <f ca="1">_xll.BDP($C18,"low_52week")</f>
        <v>#NAME?</v>
      </c>
      <c r="R18" s="175" t="e">
        <f ca="1">_xll.BDP($C18,"high_52week")</f>
        <v>#NAME?</v>
      </c>
      <c r="S18" s="175" t="e">
        <f ca="1">_xll.BDP($C18,"BEST_PX_BPS_RATIO")</f>
        <v>#NAME?</v>
      </c>
      <c r="T18" s="175" t="e">
        <f ca="1">_xll.BDP($C18,"PX_to_sales_ratio")</f>
        <v>#NAME?</v>
      </c>
      <c r="U18" s="175" t="e">
        <f ca="1">_xll.BDP($C18,"BEST_EST_PE_NXT_YR")</f>
        <v>#NAME?</v>
      </c>
      <c r="V18" s="175" t="e">
        <f ca="1">_xll.BDP($C18,"EST_EV_NEXT_YR_EBITDA")</f>
        <v>#NAME?</v>
      </c>
      <c r="W18" s="175" t="e">
        <f ca="1">_xll.BDP($C18,"latest_announcement_dt")</f>
        <v>#NAME?</v>
      </c>
      <c r="X18" s="175" t="e">
        <f ca="1">_xll.BDP($C18,"expected_report_dt")</f>
        <v>#NAME?</v>
      </c>
      <c r="AA18" s="178"/>
    </row>
    <row r="19" spans="1:27">
      <c r="A19" s="155"/>
      <c r="B19" s="155"/>
      <c r="C19" s="168" t="str">
        <f t="shared" si="0"/>
        <v>epc Equity</v>
      </c>
      <c r="D19" s="173" t="e">
        <f ca="1">_xll.BDP($C19,"Short_Name")</f>
        <v>#NAME?</v>
      </c>
      <c r="E19" s="174" t="s">
        <v>301</v>
      </c>
      <c r="F19" s="175" t="e">
        <f ca="1">_xll.BDP($C19,"Country")</f>
        <v>#NAME?</v>
      </c>
      <c r="G19" s="175" t="e">
        <f ca="1">_xll.BDP($C19,"GICS_SECTOR_NAME")</f>
        <v>#NAME?</v>
      </c>
      <c r="H19" s="175" t="e">
        <f ca="1">_xll.BDP($C19,"PX_LAST")</f>
        <v>#NAME?</v>
      </c>
      <c r="I19" s="176" t="e">
        <f ca="1">_xll.BDP($C19,"crncy_adj_mkt_cap","eqy_fund_crncy","USD")</f>
        <v>#NAME?</v>
      </c>
      <c r="J19" s="170" t="e">
        <f ca="1">_xll.BDP($C19,"volume_avg_30D")</f>
        <v>#NAME?</v>
      </c>
      <c r="K19" s="177" t="e">
        <f ca="1">(1+_xll.BDP($C19,"CHG_PCT_1d")/100)*(1+AF19)-1</f>
        <v>#NAME?</v>
      </c>
      <c r="L19" s="177" t="e">
        <f ca="1">(1+_xll.BDP($C19,"CHG_PCT_5d")/100)*(1+AG19)-1</f>
        <v>#NAME?</v>
      </c>
      <c r="M19" s="177" t="e">
        <f ca="1">(1+_xll.BDP($C19,"CHG_PCT_1M")/100)*(1+AH19)-1</f>
        <v>#NAME?</v>
      </c>
      <c r="N19" s="177" t="e">
        <f ca="1">(1+_xll.BDP($C19,"CHG_PCT_3M")/100)*(1+AI19)-1</f>
        <v>#NAME?</v>
      </c>
      <c r="O19" s="177" t="e">
        <f ca="1">(1+_xll.BDP($C19,"CHG_PCT_YTD")/100)*(1+AJ19)-1</f>
        <v>#NAME?</v>
      </c>
      <c r="P19" s="177" t="e">
        <f ca="1">(1+_xll.BDP($C19,"CHG_PCT_1YR")/100)*(1+AK19)-1</f>
        <v>#NAME?</v>
      </c>
      <c r="Q19" s="175" t="e">
        <f ca="1">_xll.BDP($C19,"low_52week")</f>
        <v>#NAME?</v>
      </c>
      <c r="R19" s="175" t="e">
        <f ca="1">_xll.BDP($C19,"high_52week")</f>
        <v>#NAME?</v>
      </c>
      <c r="S19" s="175" t="e">
        <f ca="1">_xll.BDP($C19,"BEST_PX_BPS_RATIO")</f>
        <v>#NAME?</v>
      </c>
      <c r="T19" s="175" t="e">
        <f ca="1">_xll.BDP($C19,"PX_to_sales_ratio")</f>
        <v>#NAME?</v>
      </c>
      <c r="U19" s="175" t="e">
        <f ca="1">_xll.BDP($C19,"BEST_EST_PE_NXT_YR")</f>
        <v>#NAME?</v>
      </c>
      <c r="V19" s="175" t="e">
        <f ca="1">_xll.BDP($C19,"EST_EV_NEXT_YR_EBITDA")</f>
        <v>#NAME?</v>
      </c>
      <c r="W19" s="175" t="e">
        <f ca="1">_xll.BDP($C19,"latest_announcement_dt")</f>
        <v>#NAME?</v>
      </c>
      <c r="X19" s="175" t="e">
        <f ca="1">_xll.BDP($C19,"expected_report_dt")</f>
        <v>#NAME?</v>
      </c>
      <c r="AA19" s="178"/>
    </row>
    <row r="20" spans="1:27">
      <c r="A20" s="155"/>
      <c r="B20" s="155"/>
      <c r="C20" s="179" t="str">
        <f t="shared" si="0"/>
        <v>KIMBERA MM Equity</v>
      </c>
      <c r="D20" s="180" t="e">
        <f ca="1">_xll.BDP($C20,"Short_Name")</f>
        <v>#NAME?</v>
      </c>
      <c r="E20" s="181" t="s">
        <v>302</v>
      </c>
      <c r="F20" s="182" t="e">
        <f ca="1">_xll.BDP($C20,"Country")</f>
        <v>#NAME?</v>
      </c>
      <c r="G20" s="182" t="e">
        <f ca="1">_xll.BDP($C20,"GICS_SECTOR_NAME")</f>
        <v>#NAME?</v>
      </c>
      <c r="H20" s="182" t="e">
        <f ca="1">_xll.BDP($C20,"PX_LAST")</f>
        <v>#NAME?</v>
      </c>
      <c r="I20" s="183" t="e">
        <f ca="1">_xll.BDP($C20,"crncy_adj_mkt_cap","eqy_fund_crncy","USD")</f>
        <v>#NAME?</v>
      </c>
      <c r="J20" s="184" t="e">
        <f ca="1">_xll.BDP($C20,"volume_avg_30D")</f>
        <v>#NAME?</v>
      </c>
      <c r="K20" s="185" t="e">
        <f ca="1">(1+_xll.BDP($C20,"CHG_PCT_1d")/100)*(1+AF20)-1</f>
        <v>#NAME?</v>
      </c>
      <c r="L20" s="185" t="e">
        <f ca="1">(1+_xll.BDP($C20,"CHG_PCT_5d")/100)*(1+AG20)-1</f>
        <v>#NAME?</v>
      </c>
      <c r="M20" s="185" t="e">
        <f ca="1">(1+_xll.BDP($C20,"CHG_PCT_1M")/100)*(1+AH20)-1</f>
        <v>#NAME?</v>
      </c>
      <c r="N20" s="185" t="e">
        <f ca="1">(1+_xll.BDP($C20,"CHG_PCT_3M")/100)*(1+AI20)-1</f>
        <v>#NAME?</v>
      </c>
      <c r="O20" s="185" t="e">
        <f ca="1">(1+_xll.BDP($C20,"CHG_PCT_YTD")/100)*(1+AJ20)-1</f>
        <v>#NAME?</v>
      </c>
      <c r="P20" s="185" t="e">
        <f ca="1">(1+_xll.BDP($C20,"CHG_PCT_1YR")/100)*(1+AK20)-1</f>
        <v>#NAME?</v>
      </c>
      <c r="Q20" s="182" t="e">
        <f ca="1">_xll.BDP($C20,"low_52week")</f>
        <v>#NAME?</v>
      </c>
      <c r="R20" s="182" t="e">
        <f ca="1">_xll.BDP($C20,"high_52week")</f>
        <v>#NAME?</v>
      </c>
      <c r="S20" s="182" t="e">
        <f ca="1">_xll.BDP($C20,"BEST_PX_BPS_RATIO")</f>
        <v>#NAME?</v>
      </c>
      <c r="T20" s="182" t="e">
        <f ca="1">_xll.BDP($C20,"PX_to_sales_ratio")</f>
        <v>#NAME?</v>
      </c>
      <c r="U20" s="182" t="e">
        <f ca="1">_xll.BDP($C20,"BEST_EST_PE_NXT_YR")</f>
        <v>#NAME?</v>
      </c>
      <c r="V20" s="182" t="e">
        <f ca="1">_xll.BDP($C20,"EST_EV_NEXT_YR_EBITDA")</f>
        <v>#NAME?</v>
      </c>
      <c r="W20" s="182" t="e">
        <f ca="1">_xll.BDP($C20,"latest_announcement_dt")</f>
        <v>#NAME?</v>
      </c>
      <c r="X20" s="182" t="e">
        <f ca="1">_xll.BDP($C20,"expected_report_dt")</f>
        <v>#NAME?</v>
      </c>
      <c r="AA20" s="186"/>
    </row>
    <row r="21" spans="1:27">
      <c r="A21" s="155"/>
      <c r="B21" s="155"/>
      <c r="C21" s="168" t="str">
        <f t="shared" si="0"/>
        <v>3331 hK Equity</v>
      </c>
      <c r="D21" s="173" t="e">
        <f ca="1">_xll.BDP($C21,"Short_Name")</f>
        <v>#NAME?</v>
      </c>
      <c r="E21" s="174" t="s">
        <v>303</v>
      </c>
      <c r="F21" s="175" t="e">
        <f ca="1">_xll.BDP($C21,"Country")</f>
        <v>#NAME?</v>
      </c>
      <c r="G21" s="175" t="e">
        <f ca="1">_xll.BDP($C21,"GICS_SECTOR_NAME")</f>
        <v>#NAME?</v>
      </c>
      <c r="H21" s="175" t="e">
        <f ca="1">_xll.BDP($C21,"PX_LAST")</f>
        <v>#NAME?</v>
      </c>
      <c r="I21" s="176" t="e">
        <f ca="1">_xll.BDP($C21,"crncy_adj_mkt_cap","eqy_fund_crncy","USD")</f>
        <v>#NAME?</v>
      </c>
      <c r="J21" s="170" t="e">
        <f ca="1">_xll.BDP($C21,"volume_avg_30D")</f>
        <v>#NAME?</v>
      </c>
      <c r="K21" s="177" t="e">
        <f ca="1">(1+_xll.BDP($C21,"CHG_PCT_1d")/100)*(1+AF21)-1</f>
        <v>#NAME?</v>
      </c>
      <c r="L21" s="177" t="e">
        <f ca="1">(1+_xll.BDP($C21,"CHG_PCT_5d")/100)*(1+AG21)-1</f>
        <v>#NAME?</v>
      </c>
      <c r="M21" s="177" t="e">
        <f ca="1">(1+_xll.BDP($C21,"CHG_PCT_1M")/100)*(1+AH21)-1</f>
        <v>#NAME?</v>
      </c>
      <c r="N21" s="177" t="e">
        <f ca="1">(1+_xll.BDP($C21,"CHG_PCT_3M")/100)*(1+AI21)-1</f>
        <v>#NAME?</v>
      </c>
      <c r="O21" s="177" t="e">
        <f ca="1">(1+_xll.BDP($C21,"CHG_PCT_YTD")/100)*(1+AJ21)-1</f>
        <v>#NAME?</v>
      </c>
      <c r="P21" s="177" t="e">
        <f ca="1">(1+_xll.BDP($C21,"CHG_PCT_1YR")/100)*(1+AK21)-1</f>
        <v>#NAME?</v>
      </c>
      <c r="Q21" s="175" t="e">
        <f ca="1">_xll.BDP($C21,"low_52week")</f>
        <v>#NAME?</v>
      </c>
      <c r="R21" s="175" t="e">
        <f ca="1">_xll.BDP($C21,"high_52week")</f>
        <v>#NAME?</v>
      </c>
      <c r="S21" s="175" t="e">
        <f ca="1">_xll.BDP($C21,"BEST_PX_BPS_RATIO")</f>
        <v>#NAME?</v>
      </c>
      <c r="T21" s="175" t="e">
        <f ca="1">_xll.BDP($C21,"PX_to_sales_ratio")</f>
        <v>#NAME?</v>
      </c>
      <c r="U21" s="175" t="e">
        <f ca="1">_xll.BDP($C21,"BEST_EST_PE_NXT_YR")</f>
        <v>#NAME?</v>
      </c>
      <c r="V21" s="175" t="e">
        <f ca="1">_xll.BDP($C21,"EST_EV_NEXT_YR_EBITDA")</f>
        <v>#NAME?</v>
      </c>
      <c r="W21" s="175" t="e">
        <f ca="1">_xll.BDP($C21,"latest_announcement_dt")</f>
        <v>#NAME?</v>
      </c>
      <c r="X21" s="175" t="e">
        <f ca="1">_xll.BDP($C21,"expected_report_dt")</f>
        <v>#NAME?</v>
      </c>
    </row>
    <row r="22" spans="1:27">
      <c r="A22" s="155"/>
      <c r="B22" s="155"/>
      <c r="C22" s="168" t="str">
        <f t="shared" si="0"/>
        <v>ontex bb Equity</v>
      </c>
      <c r="D22" s="173" t="e">
        <f ca="1">_xll.BDP($C22,"Short_Name")</f>
        <v>#NAME?</v>
      </c>
      <c r="E22" s="174" t="s">
        <v>304</v>
      </c>
      <c r="F22" s="175" t="e">
        <f ca="1">_xll.BDP($C22,"Country")</f>
        <v>#NAME?</v>
      </c>
      <c r="G22" s="175" t="e">
        <f ca="1">_xll.BDP($C22,"GICS_SECTOR_NAME")</f>
        <v>#NAME?</v>
      </c>
      <c r="H22" s="175" t="e">
        <f ca="1">_xll.BDP($C22,"PX_LAST")</f>
        <v>#NAME?</v>
      </c>
      <c r="I22" s="176" t="e">
        <f ca="1">_xll.BDP($C22,"crncy_adj_mkt_cap","eqy_fund_crncy","USD")</f>
        <v>#NAME?</v>
      </c>
      <c r="J22" s="170" t="e">
        <f ca="1">_xll.BDP($C22,"volume_avg_30D")</f>
        <v>#NAME?</v>
      </c>
      <c r="K22" s="177" t="e">
        <f ca="1">(1+_xll.BDP($C22,"CHG_PCT_1d")/100)*(1+AF22)-1</f>
        <v>#NAME?</v>
      </c>
      <c r="L22" s="177" t="e">
        <f ca="1">(1+_xll.BDP($C22,"CHG_PCT_5d")/100)*(1+AG22)-1</f>
        <v>#NAME?</v>
      </c>
      <c r="M22" s="177" t="e">
        <f ca="1">(1+_xll.BDP($C22,"CHG_PCT_1M")/100)*(1+AH22)-1</f>
        <v>#NAME?</v>
      </c>
      <c r="N22" s="177" t="e">
        <f ca="1">(1+_xll.BDP($C22,"CHG_PCT_3M")/100)*(1+AI22)-1</f>
        <v>#NAME?</v>
      </c>
      <c r="O22" s="177" t="e">
        <f ca="1">(1+_xll.BDP($C22,"CHG_PCT_YTD")/100)*(1+AJ22)-1</f>
        <v>#NAME?</v>
      </c>
      <c r="P22" s="177" t="e">
        <f ca="1">(1+_xll.BDP($C22,"CHG_PCT_1YR")/100)*(1+AK22)-1</f>
        <v>#NAME?</v>
      </c>
      <c r="Q22" s="175" t="e">
        <f ca="1">_xll.BDP($C22,"low_52week")</f>
        <v>#NAME?</v>
      </c>
      <c r="R22" s="175" t="e">
        <f ca="1">_xll.BDP($C22,"high_52week")</f>
        <v>#NAME?</v>
      </c>
      <c r="S22" s="175" t="e">
        <f ca="1">_xll.BDP($C22,"BEST_PX_BPS_RATIO")</f>
        <v>#NAME?</v>
      </c>
      <c r="T22" s="175" t="e">
        <f ca="1">_xll.BDP($C22,"PX_to_sales_ratio")</f>
        <v>#NAME?</v>
      </c>
      <c r="U22" s="175" t="e">
        <f ca="1">_xll.BDP($C22,"BEST_EST_PE_NXT_YR")</f>
        <v>#NAME?</v>
      </c>
      <c r="V22" s="175" t="e">
        <f ca="1">_xll.BDP($C22,"EST_EV_NEXT_YR_EBITDA")</f>
        <v>#NAME?</v>
      </c>
      <c r="W22" s="175" t="e">
        <f ca="1">_xll.BDP($C22,"latest_announcement_dt")</f>
        <v>#NAME?</v>
      </c>
      <c r="X22" s="175" t="e">
        <f ca="1">_xll.BDP($C22,"expected_report_dt")</f>
        <v>#NAME?</v>
      </c>
    </row>
    <row r="23" spans="1:27">
      <c r="A23" s="155"/>
      <c r="B23" s="155"/>
      <c r="C23" s="168" t="str">
        <f t="shared" si="0"/>
        <v>CMPC CI Equity</v>
      </c>
      <c r="D23" s="173" t="e">
        <f ca="1">_xll.BDP($C23,"Short_Name")</f>
        <v>#NAME?</v>
      </c>
      <c r="E23" s="174" t="s">
        <v>305</v>
      </c>
      <c r="F23" s="175" t="e">
        <f ca="1">_xll.BDP($C23,"Country")</f>
        <v>#NAME?</v>
      </c>
      <c r="G23" s="175" t="e">
        <f ca="1">_xll.BDP($C23,"GICS_SECTOR_NAME")</f>
        <v>#NAME?</v>
      </c>
      <c r="H23" s="175" t="e">
        <f ca="1">_xll.BDP($C23,"PX_LAST")</f>
        <v>#NAME?</v>
      </c>
      <c r="I23" s="176" t="e">
        <f ca="1">_xll.BDP($C23,"crncy_adj_mkt_cap","eqy_fund_crncy","USD")</f>
        <v>#NAME?</v>
      </c>
      <c r="J23" s="170" t="e">
        <f ca="1">_xll.BDP($C23,"volume_avg_30D")</f>
        <v>#NAME?</v>
      </c>
      <c r="K23" s="177" t="e">
        <f ca="1">(1+_xll.BDP($C23,"CHG_PCT_1d")/100)*(1+AF23)-1</f>
        <v>#NAME?</v>
      </c>
      <c r="L23" s="177" t="e">
        <f ca="1">(1+_xll.BDP($C23,"CHG_PCT_5d")/100)*(1+AG23)-1</f>
        <v>#NAME?</v>
      </c>
      <c r="M23" s="177" t="e">
        <f ca="1">(1+_xll.BDP($C23,"CHG_PCT_1M")/100)*(1+AH23)-1</f>
        <v>#NAME?</v>
      </c>
      <c r="N23" s="177" t="e">
        <f ca="1">(1+_xll.BDP($C23,"CHG_PCT_3M")/100)*(1+AI23)-1</f>
        <v>#NAME?</v>
      </c>
      <c r="O23" s="177" t="e">
        <f ca="1">(1+_xll.BDP($C23,"CHG_PCT_YTD")/100)*(1+AJ23)-1</f>
        <v>#NAME?</v>
      </c>
      <c r="P23" s="177" t="e">
        <f ca="1">(1+_xll.BDP($C23,"CHG_PCT_1YR")/100)*(1+AK23)-1</f>
        <v>#NAME?</v>
      </c>
      <c r="Q23" s="175" t="e">
        <f ca="1">_xll.BDP($C23,"low_52week")</f>
        <v>#NAME?</v>
      </c>
      <c r="R23" s="175" t="e">
        <f ca="1">_xll.BDP($C23,"high_52week")</f>
        <v>#NAME?</v>
      </c>
      <c r="S23" s="175" t="e">
        <f ca="1">_xll.BDP($C23,"BEST_PX_BPS_RATIO")</f>
        <v>#NAME?</v>
      </c>
      <c r="T23" s="175" t="e">
        <f ca="1">_xll.BDP($C23,"PX_to_sales_ratio")</f>
        <v>#NAME?</v>
      </c>
      <c r="U23" s="175" t="e">
        <f ca="1">_xll.BDP($C23,"BEST_EST_PE_NXT_YR")</f>
        <v>#NAME?</v>
      </c>
      <c r="V23" s="175" t="e">
        <f ca="1">_xll.BDP($C23,"EST_EV_NEXT_YR_EBITDA")</f>
        <v>#NAME?</v>
      </c>
      <c r="W23" s="175" t="e">
        <f ca="1">_xll.BDP($C23,"latest_announcement_dt")</f>
        <v>#NAME?</v>
      </c>
      <c r="X23" s="175" t="e">
        <f ca="1">_xll.BDP($C23,"expected_report_dt")</f>
        <v>#NAME?</v>
      </c>
    </row>
    <row r="24" spans="1:27">
      <c r="A24" s="155"/>
      <c r="B24" s="155"/>
      <c r="C24" s="179"/>
      <c r="D24" s="180"/>
      <c r="E24" s="181"/>
      <c r="F24" s="182"/>
      <c r="G24" s="182"/>
      <c r="H24" s="182"/>
      <c r="I24" s="183"/>
      <c r="J24" s="184"/>
      <c r="K24" s="185"/>
      <c r="L24" s="185"/>
      <c r="M24" s="185"/>
      <c r="N24" s="185"/>
      <c r="O24" s="185"/>
      <c r="P24" s="185"/>
      <c r="Q24" s="182"/>
      <c r="R24" s="182"/>
      <c r="S24" s="182"/>
      <c r="T24" s="182"/>
      <c r="U24" s="182"/>
      <c r="V24" s="182"/>
      <c r="W24" s="182"/>
      <c r="X24" s="182"/>
    </row>
    <row r="25" spans="1:27">
      <c r="A25" s="155"/>
      <c r="B25" s="155"/>
      <c r="C25" s="168"/>
      <c r="D25" s="173"/>
      <c r="E25" s="174"/>
      <c r="F25" s="175"/>
      <c r="G25" s="175"/>
      <c r="H25" s="175"/>
      <c r="I25" s="176"/>
      <c r="J25" s="170"/>
      <c r="K25" s="177"/>
      <c r="L25" s="177"/>
      <c r="M25" s="177"/>
      <c r="N25" s="177"/>
      <c r="O25" s="177"/>
      <c r="P25" s="177"/>
      <c r="Q25" s="175"/>
      <c r="R25" s="175"/>
      <c r="S25" s="175"/>
      <c r="T25" s="175"/>
      <c r="U25" s="175"/>
      <c r="V25" s="175"/>
      <c r="W25" s="175"/>
      <c r="X25" s="175"/>
    </row>
    <row r="26" spans="1:27">
      <c r="A26" s="155"/>
      <c r="B26" s="155"/>
      <c r="C26" s="168"/>
      <c r="D26" s="173"/>
      <c r="E26" s="174"/>
      <c r="F26" s="175"/>
      <c r="G26" s="175"/>
      <c r="H26" s="175"/>
      <c r="I26" s="176"/>
      <c r="J26" s="170"/>
      <c r="K26" s="177"/>
      <c r="L26" s="177"/>
      <c r="M26" s="177"/>
      <c r="N26" s="177"/>
      <c r="O26" s="177"/>
      <c r="P26" s="177"/>
      <c r="Q26" s="175"/>
      <c r="R26" s="175"/>
      <c r="S26" s="175"/>
      <c r="T26" s="175"/>
      <c r="U26" s="175"/>
      <c r="V26" s="175"/>
      <c r="W26" s="175"/>
      <c r="X26" s="175"/>
    </row>
    <row r="27" spans="1:27">
      <c r="A27" s="155"/>
      <c r="B27" s="155"/>
      <c r="C27" s="168"/>
      <c r="D27" s="173"/>
      <c r="E27" s="174"/>
      <c r="F27" s="175"/>
      <c r="G27" s="175"/>
      <c r="H27" s="175"/>
      <c r="I27" s="176"/>
      <c r="J27" s="170"/>
      <c r="K27" s="177"/>
      <c r="L27" s="177"/>
      <c r="M27" s="177"/>
      <c r="N27" s="177"/>
      <c r="O27" s="177"/>
      <c r="P27" s="177"/>
      <c r="Q27" s="175"/>
      <c r="R27" s="175"/>
      <c r="S27" s="175"/>
      <c r="T27" s="175"/>
      <c r="U27" s="175"/>
      <c r="V27" s="175"/>
      <c r="W27" s="175"/>
      <c r="X27" s="175"/>
    </row>
    <row r="28" spans="1:27">
      <c r="A28" s="155"/>
      <c r="B28" s="155"/>
      <c r="C28" s="168"/>
      <c r="D28" s="173"/>
      <c r="E28" s="174"/>
      <c r="F28" s="175"/>
      <c r="G28" s="175"/>
      <c r="H28" s="175"/>
      <c r="I28" s="176"/>
      <c r="J28" s="170"/>
      <c r="K28" s="177"/>
      <c r="L28" s="177"/>
      <c r="M28" s="177"/>
      <c r="N28" s="177"/>
      <c r="O28" s="177"/>
      <c r="P28" s="177"/>
      <c r="Q28" s="175"/>
      <c r="R28" s="175"/>
      <c r="S28" s="175"/>
      <c r="T28" s="175"/>
      <c r="U28" s="175"/>
      <c r="V28" s="175"/>
      <c r="W28" s="175"/>
      <c r="X28" s="175"/>
    </row>
    <row r="29" spans="1:27">
      <c r="A29" s="155"/>
      <c r="B29" s="155"/>
      <c r="C29" s="169"/>
      <c r="D29" s="171" t="s">
        <v>270</v>
      </c>
      <c r="E29" s="169" t="s">
        <v>271</v>
      </c>
      <c r="F29" s="169" t="s">
        <v>272</v>
      </c>
      <c r="G29" s="169" t="s">
        <v>273</v>
      </c>
      <c r="H29" s="169" t="s">
        <v>274</v>
      </c>
      <c r="I29" s="169" t="s">
        <v>275</v>
      </c>
      <c r="J29" s="172" t="s">
        <v>276</v>
      </c>
      <c r="K29" s="169" t="s">
        <v>277</v>
      </c>
      <c r="L29" s="169" t="s">
        <v>278</v>
      </c>
      <c r="M29" s="169" t="s">
        <v>279</v>
      </c>
      <c r="N29" s="169" t="s">
        <v>280</v>
      </c>
      <c r="O29" s="169" t="s">
        <v>281</v>
      </c>
      <c r="P29" s="169" t="s">
        <v>282</v>
      </c>
      <c r="Q29" s="169" t="s">
        <v>283</v>
      </c>
      <c r="R29" s="169" t="s">
        <v>284</v>
      </c>
      <c r="S29" s="169" t="s">
        <v>18</v>
      </c>
      <c r="T29" s="169" t="s">
        <v>285</v>
      </c>
      <c r="U29" s="169" t="s">
        <v>88</v>
      </c>
      <c r="V29" s="169" t="s">
        <v>19</v>
      </c>
      <c r="W29" s="169" t="s">
        <v>286</v>
      </c>
      <c r="X29" s="169" t="s">
        <v>286</v>
      </c>
    </row>
    <row r="30" spans="1:27">
      <c r="A30" s="155"/>
      <c r="B30" s="155"/>
      <c r="C30" s="168" t="s">
        <v>306</v>
      </c>
      <c r="D30" s="173" t="s">
        <v>307</v>
      </c>
      <c r="E30" s="174" t="s">
        <v>287</v>
      </c>
      <c r="F30" s="175" t="s">
        <v>308</v>
      </c>
      <c r="G30" s="175" t="s">
        <v>309</v>
      </c>
      <c r="H30" s="175" t="s">
        <v>310</v>
      </c>
      <c r="I30" s="176" t="s">
        <v>310</v>
      </c>
      <c r="J30" s="170" t="s">
        <v>310</v>
      </c>
      <c r="K30" s="177" t="e">
        <v>#VALUE!</v>
      </c>
      <c r="L30" s="177" t="e">
        <v>#VALUE!</v>
      </c>
      <c r="M30" s="177" t="e">
        <v>#VALUE!</v>
      </c>
      <c r="N30" s="177" t="e">
        <v>#VALUE!</v>
      </c>
      <c r="O30" s="177" t="e">
        <v>#VALUE!</v>
      </c>
      <c r="P30" s="177" t="e">
        <v>#VALUE!</v>
      </c>
      <c r="Q30" s="175" t="s">
        <v>310</v>
      </c>
      <c r="R30" s="175" t="s">
        <v>310</v>
      </c>
      <c r="S30" s="175" t="s">
        <v>310</v>
      </c>
      <c r="T30" s="175" t="s">
        <v>311</v>
      </c>
      <c r="U30" s="175" t="s">
        <v>310</v>
      </c>
      <c r="V30" s="175" t="s">
        <v>310</v>
      </c>
      <c r="W30" s="175" t="s">
        <v>312</v>
      </c>
      <c r="X30" s="175" t="s">
        <v>313</v>
      </c>
    </row>
    <row r="31" spans="1:27" s="156" customFormat="1">
      <c r="A31" s="187"/>
      <c r="B31" s="187"/>
      <c r="C31" s="168" t="s">
        <v>314</v>
      </c>
      <c r="D31" s="173" t="s">
        <v>315</v>
      </c>
      <c r="E31" s="174" t="s">
        <v>288</v>
      </c>
      <c r="F31" s="175" t="s">
        <v>316</v>
      </c>
      <c r="G31" s="175" t="s">
        <v>309</v>
      </c>
      <c r="H31" s="175">
        <v>2194.0500000000002</v>
      </c>
      <c r="I31" s="176">
        <v>61728.361790982228</v>
      </c>
      <c r="J31" s="170">
        <v>2355613</v>
      </c>
      <c r="K31" s="177">
        <v>-1.7134789999999955E-2</v>
      </c>
      <c r="L31" s="177">
        <v>-3.2157740000000046E-2</v>
      </c>
      <c r="M31" s="177">
        <v>-5.7417170000000017E-2</v>
      </c>
      <c r="N31" s="177">
        <v>-0.14598500000000003</v>
      </c>
      <c r="O31" s="177">
        <v>-0.1763922</v>
      </c>
      <c r="P31" s="177">
        <v>-0.13490650000000004</v>
      </c>
      <c r="Q31" s="175">
        <v>2190</v>
      </c>
      <c r="R31" s="175">
        <v>2769.65</v>
      </c>
      <c r="S31" s="175">
        <v>9.9220813284613438</v>
      </c>
      <c r="T31" s="175">
        <v>8.6569393660972231</v>
      </c>
      <c r="U31" s="175">
        <v>44.909425852011054</v>
      </c>
      <c r="V31" s="175">
        <v>31.360997462250481</v>
      </c>
      <c r="W31" s="175" t="s">
        <v>317</v>
      </c>
      <c r="X31" s="175" t="s">
        <v>318</v>
      </c>
    </row>
    <row r="32" spans="1:27">
      <c r="A32" s="155"/>
      <c r="B32" s="155"/>
      <c r="C32" s="168" t="s">
        <v>319</v>
      </c>
      <c r="D32" s="173" t="s">
        <v>320</v>
      </c>
      <c r="E32" s="174" t="s">
        <v>289</v>
      </c>
      <c r="F32" s="175" t="s">
        <v>321</v>
      </c>
      <c r="G32" s="175" t="s">
        <v>309</v>
      </c>
      <c r="H32" s="175">
        <v>4583</v>
      </c>
      <c r="I32" s="176">
        <v>18443.531504360748</v>
      </c>
      <c r="J32" s="170">
        <v>1158413</v>
      </c>
      <c r="K32" s="177">
        <v>-1.036493000000005E-2</v>
      </c>
      <c r="L32" s="177">
        <v>3.9430449999999784E-3</v>
      </c>
      <c r="M32" s="177">
        <v>-6.316434999999998E-2</v>
      </c>
      <c r="N32" s="177">
        <v>-0.14400449999999998</v>
      </c>
      <c r="O32" s="177">
        <v>-0.10102</v>
      </c>
      <c r="P32" s="177">
        <v>-0.14814130000000003</v>
      </c>
      <c r="Q32" s="175">
        <v>4503</v>
      </c>
      <c r="R32" s="175">
        <v>5958</v>
      </c>
      <c r="S32" s="175">
        <v>3.6867597621102779</v>
      </c>
      <c r="T32" s="175">
        <v>2.8795800549397597</v>
      </c>
      <c r="U32" s="175">
        <v>26.055761490005231</v>
      </c>
      <c r="V32" s="175">
        <v>13.533988305682715</v>
      </c>
      <c r="W32" s="175" t="s">
        <v>322</v>
      </c>
      <c r="X32" s="175" t="s">
        <v>323</v>
      </c>
    </row>
    <row r="33" spans="1:24">
      <c r="A33" s="155"/>
      <c r="B33" s="155"/>
      <c r="C33" s="168" t="s">
        <v>324</v>
      </c>
      <c r="D33" s="173" t="s">
        <v>325</v>
      </c>
      <c r="E33" s="174" t="s">
        <v>290</v>
      </c>
      <c r="F33" s="175" t="s">
        <v>326</v>
      </c>
      <c r="G33" s="175" t="s">
        <v>309</v>
      </c>
      <c r="H33" s="175">
        <v>139.66</v>
      </c>
      <c r="I33" s="176">
        <v>50064.396300940003</v>
      </c>
      <c r="J33" s="170">
        <v>2192965.25</v>
      </c>
      <c r="K33" s="177">
        <v>6.195965000000081E-3</v>
      </c>
      <c r="L33" s="177">
        <v>-3.9675450000000057E-2</v>
      </c>
      <c r="M33" s="177">
        <v>-6.7378959999999988E-2</v>
      </c>
      <c r="N33" s="177">
        <v>3.5976580000000036E-2</v>
      </c>
      <c r="O33" s="177">
        <v>-4.5059830000000023E-2</v>
      </c>
      <c r="P33" s="177">
        <v>-0.45017909999999994</v>
      </c>
      <c r="Q33" s="175">
        <v>102.22</v>
      </c>
      <c r="R33" s="175">
        <v>260.45999999999998</v>
      </c>
      <c r="S33" s="175">
        <v>8.8252764612954184</v>
      </c>
      <c r="T33" s="175">
        <v>3.3017967611552432</v>
      </c>
      <c r="U33" s="175">
        <v>32.607985057202889</v>
      </c>
      <c r="V33" s="175">
        <v>17.79579002536947</v>
      </c>
      <c r="W33" s="175" t="s">
        <v>327</v>
      </c>
      <c r="X33" s="175" t="s">
        <v>328</v>
      </c>
    </row>
    <row r="34" spans="1:24">
      <c r="A34" s="155"/>
      <c r="C34" s="168" t="s">
        <v>329</v>
      </c>
      <c r="D34" s="173" t="s">
        <v>330</v>
      </c>
      <c r="E34" s="174" t="s">
        <v>291</v>
      </c>
      <c r="F34" s="175" t="s">
        <v>331</v>
      </c>
      <c r="G34" s="175" t="s">
        <v>309</v>
      </c>
      <c r="H34" s="175">
        <v>132.4</v>
      </c>
      <c r="I34" s="176">
        <v>35493.473404347533</v>
      </c>
      <c r="J34" s="170">
        <v>265410.09999999998</v>
      </c>
      <c r="K34" s="177">
        <v>9.5310710000000576E-3</v>
      </c>
      <c r="L34" s="177">
        <v>2.1210949999999951E-2</v>
      </c>
      <c r="M34" s="177">
        <v>-1.2308859999999977E-2</v>
      </c>
      <c r="N34" s="177">
        <v>-1.3780259999999989E-2</v>
      </c>
      <c r="O34" s="177">
        <v>-2.4318330000000055E-2</v>
      </c>
      <c r="P34" s="177">
        <v>9.8755190000000104E-2</v>
      </c>
      <c r="Q34" s="175">
        <v>113.4</v>
      </c>
      <c r="R34" s="175">
        <v>143.9</v>
      </c>
      <c r="S34" s="175">
        <v>3.5186563197618796</v>
      </c>
      <c r="T34" s="175">
        <v>3.1788749970579855</v>
      </c>
      <c r="U34" s="175">
        <v>27.377015295576683</v>
      </c>
      <c r="V34" s="175">
        <v>15.393179908172302</v>
      </c>
      <c r="W34" s="175" t="s">
        <v>332</v>
      </c>
      <c r="X34" s="175" t="s">
        <v>333</v>
      </c>
    </row>
    <row r="35" spans="1:24">
      <c r="A35" s="155"/>
      <c r="C35" s="168" t="s">
        <v>334</v>
      </c>
      <c r="D35" s="173" t="s">
        <v>335</v>
      </c>
      <c r="E35" s="174" t="s">
        <v>292</v>
      </c>
      <c r="F35" s="175" t="s">
        <v>326</v>
      </c>
      <c r="G35" s="175" t="s">
        <v>309</v>
      </c>
      <c r="H35" s="175">
        <v>141.16999999999999</v>
      </c>
      <c r="I35" s="176">
        <v>17520.091029609997</v>
      </c>
      <c r="J35" s="170">
        <v>1162752</v>
      </c>
      <c r="K35" s="177">
        <v>-5.7050290000000281E-3</v>
      </c>
      <c r="L35" s="177">
        <v>-2.2029790000000049E-2</v>
      </c>
      <c r="M35" s="177">
        <v>-5.986950000000002E-2</v>
      </c>
      <c r="N35" s="177">
        <v>-1.486394000000002E-2</v>
      </c>
      <c r="O35" s="177">
        <v>-9.9585970000000135E-3</v>
      </c>
      <c r="P35" s="177">
        <v>-0.10781770000000002</v>
      </c>
      <c r="Q35" s="175">
        <v>114.685</v>
      </c>
      <c r="R35" s="175">
        <v>178.20500000000001</v>
      </c>
      <c r="S35" s="175">
        <v>147.05208333333331</v>
      </c>
      <c r="T35" s="175">
        <v>2.3927761022294822</v>
      </c>
      <c r="U35" s="175">
        <v>21.941249611439225</v>
      </c>
      <c r="V35" s="175">
        <v>14.96190689390615</v>
      </c>
      <c r="W35" s="175" t="s">
        <v>336</v>
      </c>
      <c r="X35" s="175" t="s">
        <v>337</v>
      </c>
    </row>
    <row r="36" spans="1:24">
      <c r="A36" s="155"/>
      <c r="C36" s="168" t="s">
        <v>338</v>
      </c>
      <c r="D36" s="173" t="s">
        <v>339</v>
      </c>
      <c r="E36" s="174" t="s">
        <v>293</v>
      </c>
      <c r="F36" s="175" t="s">
        <v>340</v>
      </c>
      <c r="G36" s="175" t="s">
        <v>309</v>
      </c>
      <c r="H36" s="175">
        <v>2680</v>
      </c>
      <c r="I36" s="176">
        <v>6354.3816034804222</v>
      </c>
      <c r="J36" s="170">
        <v>17294610</v>
      </c>
      <c r="K36" s="177">
        <v>-1.1070110000000022E-2</v>
      </c>
      <c r="L36" s="177">
        <v>-7.407406999999977E-3</v>
      </c>
      <c r="M36" s="177">
        <v>1.5151520000000085E-2</v>
      </c>
      <c r="N36" s="177">
        <v>-0.21407620000000005</v>
      </c>
      <c r="O36" s="177">
        <v>-0.24079319999999993</v>
      </c>
      <c r="P36" s="177">
        <v>-0.35421689999999995</v>
      </c>
      <c r="Q36" s="175">
        <v>2570</v>
      </c>
      <c r="R36" s="175">
        <v>4630</v>
      </c>
      <c r="S36" s="175">
        <v>26.527824520420488</v>
      </c>
      <c r="T36" s="175">
        <v>2.6479743638413948</v>
      </c>
      <c r="U36" s="175">
        <v>18.787373202756417</v>
      </c>
      <c r="V36" s="175">
        <v>12.867340374075361</v>
      </c>
      <c r="W36" s="175" t="s">
        <v>322</v>
      </c>
      <c r="X36" s="175" t="s">
        <v>341</v>
      </c>
    </row>
    <row r="37" spans="1:24">
      <c r="A37" s="155"/>
      <c r="C37" s="168" t="s">
        <v>342</v>
      </c>
      <c r="D37" s="173" t="s">
        <v>343</v>
      </c>
      <c r="E37" s="174" t="s">
        <v>294</v>
      </c>
      <c r="F37" s="175" t="s">
        <v>326</v>
      </c>
      <c r="G37" s="175" t="s">
        <v>309</v>
      </c>
      <c r="H37" s="175">
        <v>102.18</v>
      </c>
      <c r="I37" s="176">
        <v>24922.189602959999</v>
      </c>
      <c r="J37" s="170">
        <v>1205686.625</v>
      </c>
      <c r="K37" s="177">
        <v>1.0882470000000088E-2</v>
      </c>
      <c r="L37" s="177">
        <v>6.7986989999999636E-3</v>
      </c>
      <c r="M37" s="177">
        <v>-2.0701520000000029E-2</v>
      </c>
      <c r="N37" s="177">
        <v>4.6390149999999908E-2</v>
      </c>
      <c r="O37" s="177">
        <v>8.0583779999999994E-2</v>
      </c>
      <c r="P37" s="177">
        <v>0.1540547000000001</v>
      </c>
      <c r="Q37" s="175">
        <v>82.25</v>
      </c>
      <c r="R37" s="175">
        <v>105.67</v>
      </c>
      <c r="S37" s="175">
        <v>5.9282896263634255</v>
      </c>
      <c r="T37" s="175">
        <v>4.2636503627305213</v>
      </c>
      <c r="U37" s="175">
        <v>27.342788332887345</v>
      </c>
      <c r="V37" s="175">
        <v>18.38020209214142</v>
      </c>
      <c r="W37" s="175" t="s">
        <v>344</v>
      </c>
      <c r="X37" s="175" t="s">
        <v>345</v>
      </c>
    </row>
    <row r="38" spans="1:24">
      <c r="A38" s="155"/>
      <c r="C38" s="168" t="s">
        <v>346</v>
      </c>
      <c r="D38" s="173" t="s">
        <v>347</v>
      </c>
      <c r="E38" s="174" t="s">
        <v>295</v>
      </c>
      <c r="F38" s="175" t="s">
        <v>326</v>
      </c>
      <c r="G38" s="175" t="s">
        <v>309</v>
      </c>
      <c r="H38" s="175">
        <v>86.55</v>
      </c>
      <c r="I38" s="176">
        <v>71142.910889549996</v>
      </c>
      <c r="J38" s="170">
        <v>3715678.25</v>
      </c>
      <c r="K38" s="177">
        <v>8.1537570000000947E-3</v>
      </c>
      <c r="L38" s="177">
        <v>-1.3337889999999963E-2</v>
      </c>
      <c r="M38" s="177">
        <v>-2.1481030000000012E-2</v>
      </c>
      <c r="N38" s="177">
        <v>6.9707030000000003E-2</v>
      </c>
      <c r="O38" s="177">
        <v>8.581108000000004E-2</v>
      </c>
      <c r="P38" s="177">
        <v>0.14499280000000003</v>
      </c>
      <c r="Q38" s="175">
        <v>67.62</v>
      </c>
      <c r="R38" s="175">
        <v>90.37</v>
      </c>
      <c r="S38" s="175">
        <v>72.548197820620274</v>
      </c>
      <c r="T38" s="175">
        <v>3.6804640797719363</v>
      </c>
      <c r="U38" s="175">
        <v>22.734436564223799</v>
      </c>
      <c r="V38" s="175">
        <v>15.076559216152839</v>
      </c>
      <c r="W38" s="175" t="s">
        <v>348</v>
      </c>
      <c r="X38" s="175" t="s">
        <v>349</v>
      </c>
    </row>
    <row r="39" spans="1:24">
      <c r="A39" s="155"/>
      <c r="C39" s="168" t="s">
        <v>350</v>
      </c>
      <c r="D39" s="173" t="s">
        <v>351</v>
      </c>
      <c r="E39" s="174" t="s">
        <v>296</v>
      </c>
      <c r="F39" s="175" t="s">
        <v>326</v>
      </c>
      <c r="G39" s="175" t="s">
        <v>309</v>
      </c>
      <c r="H39" s="175">
        <v>156.5</v>
      </c>
      <c r="I39" s="176">
        <v>368247.79495099996</v>
      </c>
      <c r="J39" s="170">
        <v>6088085.5</v>
      </c>
      <c r="K39" s="177">
        <v>7.5323499999999655E-3</v>
      </c>
      <c r="L39" s="177">
        <v>2.9479619999999152E-3</v>
      </c>
      <c r="M39" s="177">
        <v>-3.0239220000000011E-2</v>
      </c>
      <c r="N39" s="177">
        <v>3.9176579999999905E-2</v>
      </c>
      <c r="O39" s="177">
        <v>6.7967840000000113E-2</v>
      </c>
      <c r="P39" s="177">
        <v>3.6423840000000096E-2</v>
      </c>
      <c r="Q39" s="175">
        <v>141.44999999999999</v>
      </c>
      <c r="R39" s="175">
        <v>163.13999999999999</v>
      </c>
      <c r="S39" s="175">
        <v>7.8548484240112426</v>
      </c>
      <c r="T39" s="175">
        <v>4.4246666376120372</v>
      </c>
      <c r="U39" s="175">
        <v>22.625415642619632</v>
      </c>
      <c r="V39" s="175">
        <v>16.107149056452268</v>
      </c>
      <c r="W39" s="175" t="s">
        <v>352</v>
      </c>
      <c r="X39" s="175" t="s">
        <v>341</v>
      </c>
    </row>
    <row r="40" spans="1:24">
      <c r="A40" s="155"/>
      <c r="B40" s="155"/>
      <c r="C40" s="168" t="s">
        <v>353</v>
      </c>
      <c r="D40" s="173" t="s">
        <v>354</v>
      </c>
      <c r="E40" s="174" t="s">
        <v>297</v>
      </c>
      <c r="F40" s="175" t="s">
        <v>326</v>
      </c>
      <c r="G40" s="175" t="s">
        <v>309</v>
      </c>
      <c r="H40" s="175">
        <v>125.55</v>
      </c>
      <c r="I40" s="176">
        <v>42299.599153499999</v>
      </c>
      <c r="J40" s="170">
        <v>2246969.75</v>
      </c>
      <c r="K40" s="177">
        <v>1.339898000000006E-2</v>
      </c>
      <c r="L40" s="177">
        <v>-3.9666800000000002E-3</v>
      </c>
      <c r="M40" s="177">
        <v>8.6767800000000506E-3</v>
      </c>
      <c r="N40" s="177">
        <v>1.1113809999999891E-2</v>
      </c>
      <c r="O40" s="177">
        <v>3.324827000000008E-2</v>
      </c>
      <c r="P40" s="177">
        <v>-8.5778789999999994E-2</v>
      </c>
      <c r="Q40" s="175">
        <v>116.31699999999999</v>
      </c>
      <c r="R40" s="175">
        <v>147.87</v>
      </c>
      <c r="S40" s="175">
        <v>30.377449794338251</v>
      </c>
      <c r="T40" s="175">
        <v>2.0764232366491275</v>
      </c>
      <c r="U40" s="175">
        <v>17.118898281974364</v>
      </c>
      <c r="V40" s="175">
        <v>12.135898591961352</v>
      </c>
      <c r="W40" s="175" t="s">
        <v>355</v>
      </c>
      <c r="X40" s="175" t="s">
        <v>356</v>
      </c>
    </row>
    <row r="41" spans="1:24">
      <c r="A41" s="155"/>
      <c r="C41" s="168" t="s">
        <v>357</v>
      </c>
      <c r="D41" s="173" t="s">
        <v>358</v>
      </c>
      <c r="E41" s="174" t="s">
        <v>298</v>
      </c>
      <c r="F41" s="175" t="s">
        <v>326</v>
      </c>
      <c r="G41" s="175" t="s">
        <v>309</v>
      </c>
      <c r="H41" s="175">
        <v>28.16</v>
      </c>
      <c r="I41" s="176">
        <v>5917.2934937599994</v>
      </c>
      <c r="J41" s="170">
        <v>733343.9375</v>
      </c>
      <c r="K41" s="177">
        <v>-3.5385700000000186E-3</v>
      </c>
      <c r="L41" s="177">
        <v>-3.1858409999999671E-3</v>
      </c>
      <c r="M41" s="177">
        <v>-2.357836999999996E-2</v>
      </c>
      <c r="N41" s="177">
        <v>3.1879769999999974E-2</v>
      </c>
      <c r="O41" s="177">
        <v>4.9180320000000055E-2</v>
      </c>
      <c r="P41" s="177">
        <v>3.1124149999999906E-2</v>
      </c>
      <c r="Q41" s="175">
        <v>24.8</v>
      </c>
      <c r="R41" s="175">
        <v>30.54</v>
      </c>
      <c r="S41" s="175">
        <v>2.9181347150259067</v>
      </c>
      <c r="T41" s="175">
        <v>1.5742663634565983</v>
      </c>
      <c r="U41" s="175">
        <v>16.372093023255815</v>
      </c>
      <c r="V41" s="175">
        <v>11.047606147129194</v>
      </c>
      <c r="W41" s="175" t="s">
        <v>322</v>
      </c>
      <c r="X41" s="175" t="s">
        <v>359</v>
      </c>
    </row>
    <row r="42" spans="1:24">
      <c r="A42" s="155"/>
      <c r="C42" s="168" t="s">
        <v>360</v>
      </c>
      <c r="D42" s="173" t="s">
        <v>361</v>
      </c>
      <c r="E42" s="174" t="s">
        <v>299</v>
      </c>
      <c r="F42" s="175" t="s">
        <v>249</v>
      </c>
      <c r="G42" s="175" t="s">
        <v>309</v>
      </c>
      <c r="H42" s="175">
        <v>251.5</v>
      </c>
      <c r="I42" s="176">
        <v>16118.999068439434</v>
      </c>
      <c r="J42" s="170">
        <v>9735.7669999999998</v>
      </c>
      <c r="K42" s="177">
        <v>-1.9841269999999467E-3</v>
      </c>
      <c r="L42" s="177">
        <v>-2.1400780000000008E-2</v>
      </c>
      <c r="M42" s="177">
        <v>1.0040159999999965E-2</v>
      </c>
      <c r="N42" s="177">
        <v>-4.3726240000000027E-2</v>
      </c>
      <c r="O42" s="177">
        <v>1.2072429999999912E-2</v>
      </c>
      <c r="P42" s="177">
        <v>-0.17540979999999995</v>
      </c>
      <c r="Q42" s="175">
        <v>228.5</v>
      </c>
      <c r="R42" s="175">
        <v>314.5</v>
      </c>
      <c r="S42" s="175">
        <v>2.0958333333333332</v>
      </c>
      <c r="T42" s="175">
        <v>1.2004082727696406</v>
      </c>
      <c r="U42" s="175">
        <v>13.146889702038683</v>
      </c>
      <c r="V42" s="175">
        <v>8.2630451478968592</v>
      </c>
      <c r="W42" s="175" t="s">
        <v>362</v>
      </c>
      <c r="X42" s="175" t="s">
        <v>363</v>
      </c>
    </row>
    <row r="43" spans="1:24">
      <c r="A43" s="155"/>
      <c r="C43" s="168" t="s">
        <v>364</v>
      </c>
      <c r="D43" s="173" t="s">
        <v>365</v>
      </c>
      <c r="E43" s="174" t="s">
        <v>300</v>
      </c>
      <c r="F43" s="175" t="s">
        <v>331</v>
      </c>
      <c r="G43" s="175" t="s">
        <v>309</v>
      </c>
      <c r="H43" s="175">
        <v>71.72</v>
      </c>
      <c r="I43" s="176">
        <v>31612.446470712781</v>
      </c>
      <c r="J43" s="170">
        <v>523211.8</v>
      </c>
      <c r="K43" s="177">
        <v>2.7894000000006081E-4</v>
      </c>
      <c r="L43" s="177">
        <v>-1.1848989999999948E-2</v>
      </c>
      <c r="M43" s="177">
        <v>-3.6798270000000022E-2</v>
      </c>
      <c r="N43" s="177">
        <v>-2.818432000000004E-2</v>
      </c>
      <c r="O43" s="177">
        <v>-1.5646449999999978E-2</v>
      </c>
      <c r="P43" s="177">
        <v>-3.5243429999999965E-2</v>
      </c>
      <c r="Q43" s="175">
        <v>65.88</v>
      </c>
      <c r="R43" s="175">
        <v>78.84</v>
      </c>
      <c r="S43" s="175">
        <v>1.4448899006789291</v>
      </c>
      <c r="T43" s="175">
        <v>1.3992205730856038</v>
      </c>
      <c r="U43" s="175">
        <v>13.975058456742012</v>
      </c>
      <c r="V43" s="175">
        <v>8.1835231700977875</v>
      </c>
      <c r="W43" s="175" t="s">
        <v>366</v>
      </c>
      <c r="X43" s="175" t="s">
        <v>367</v>
      </c>
    </row>
    <row r="44" spans="1:24">
      <c r="A44" s="155"/>
      <c r="C44" s="168" t="s">
        <v>368</v>
      </c>
      <c r="D44" s="173" t="s">
        <v>369</v>
      </c>
      <c r="E44" s="174" t="s">
        <v>301</v>
      </c>
      <c r="F44" s="175" t="s">
        <v>326</v>
      </c>
      <c r="G44" s="175" t="s">
        <v>309</v>
      </c>
      <c r="H44" s="175">
        <v>35.76</v>
      </c>
      <c r="I44" s="176">
        <v>1785.6082639199997</v>
      </c>
      <c r="J44" s="170">
        <v>331164.65625</v>
      </c>
      <c r="K44" s="177">
        <v>-8.3822300000002681E-4</v>
      </c>
      <c r="L44" s="177">
        <v>-2.2416619999999998E-2</v>
      </c>
      <c r="M44" s="177">
        <v>-4.0257610000000055E-2</v>
      </c>
      <c r="N44" s="177">
        <v>-5.4218499999999947E-2</v>
      </c>
      <c r="O44" s="177">
        <v>-2.3751049999999996E-2</v>
      </c>
      <c r="P44" s="177">
        <v>-0.1599718</v>
      </c>
      <c r="Q44" s="175">
        <v>33.704999999999998</v>
      </c>
      <c r="R44" s="175">
        <v>46.13</v>
      </c>
      <c r="S44" s="175">
        <v>1.1120440339583915</v>
      </c>
      <c r="T44" s="175">
        <v>0.80080292052875701</v>
      </c>
      <c r="U44" s="175">
        <v>11.678641410842586</v>
      </c>
      <c r="V44" s="175">
        <v>8.2043291088021526</v>
      </c>
      <c r="W44" s="175" t="s">
        <v>322</v>
      </c>
      <c r="X44" s="175" t="s">
        <v>367</v>
      </c>
    </row>
    <row r="45" spans="1:24">
      <c r="A45" s="155"/>
      <c r="C45" s="179" t="s">
        <v>370</v>
      </c>
      <c r="D45" s="180" t="s">
        <v>371</v>
      </c>
      <c r="E45" s="181" t="s">
        <v>302</v>
      </c>
      <c r="F45" s="182" t="s">
        <v>372</v>
      </c>
      <c r="G45" s="182" t="s">
        <v>309</v>
      </c>
      <c r="H45" s="182">
        <v>38.47</v>
      </c>
      <c r="I45" s="183">
        <v>6808.0933450014791</v>
      </c>
      <c r="J45" s="184">
        <v>4728053</v>
      </c>
      <c r="K45" s="185">
        <v>7.8043699999996718E-4</v>
      </c>
      <c r="L45" s="185">
        <v>5.4887610000000642E-3</v>
      </c>
      <c r="M45" s="185">
        <v>1.3702220000000098E-2</v>
      </c>
      <c r="N45" s="185">
        <v>3.4417890000000062E-2</v>
      </c>
      <c r="O45" s="185">
        <v>7.859623999999954E-3</v>
      </c>
      <c r="P45" s="185">
        <v>-2.6322410000000018E-2</v>
      </c>
      <c r="Q45" s="182">
        <v>32.19</v>
      </c>
      <c r="R45" s="182">
        <v>41.5</v>
      </c>
      <c r="S45" s="182">
        <v>13.545774647887324</v>
      </c>
      <c r="T45" s="182">
        <v>2.2192204020082995</v>
      </c>
      <c r="U45" s="182">
        <v>14.583017437452616</v>
      </c>
      <c r="V45" s="182">
        <v>8.3368693904930069</v>
      </c>
      <c r="W45" s="182" t="s">
        <v>373</v>
      </c>
      <c r="X45" s="182" t="s">
        <v>374</v>
      </c>
    </row>
    <row r="46" spans="1:24">
      <c r="A46" s="155"/>
      <c r="C46" s="168" t="s">
        <v>375</v>
      </c>
      <c r="D46" s="173" t="s">
        <v>376</v>
      </c>
      <c r="E46" s="174" t="s">
        <v>303</v>
      </c>
      <c r="F46" s="175" t="s">
        <v>377</v>
      </c>
      <c r="G46" s="175" t="s">
        <v>309</v>
      </c>
      <c r="H46" s="175">
        <v>23.45</v>
      </c>
      <c r="I46" s="176">
        <v>3604.2154708915768</v>
      </c>
      <c r="J46" s="170">
        <v>849954.8</v>
      </c>
      <c r="K46" s="177">
        <v>0</v>
      </c>
      <c r="L46" s="177">
        <v>0</v>
      </c>
      <c r="M46" s="177">
        <v>0</v>
      </c>
      <c r="N46" s="177">
        <v>2.625819000000007E-2</v>
      </c>
      <c r="O46" s="177">
        <v>3.0769229999999981E-2</v>
      </c>
      <c r="P46" s="177">
        <v>4.9216979999999966E-2</v>
      </c>
      <c r="Q46" s="175">
        <v>15.2</v>
      </c>
      <c r="R46" s="175">
        <v>23.5</v>
      </c>
      <c r="S46" s="175">
        <v>2.2290874524714828</v>
      </c>
      <c r="T46" s="175">
        <v>1.410912994009321</v>
      </c>
      <c r="U46" s="175">
        <v>17.141812865497073</v>
      </c>
      <c r="V46" s="175">
        <v>9.4397757958076394</v>
      </c>
      <c r="W46" s="175" t="s">
        <v>362</v>
      </c>
      <c r="X46" s="175" t="s">
        <v>349</v>
      </c>
    </row>
    <row r="47" spans="1:24">
      <c r="A47" s="155"/>
      <c r="C47" s="168" t="s">
        <v>378</v>
      </c>
      <c r="D47" s="173" t="s">
        <v>379</v>
      </c>
      <c r="E47" s="174" t="s">
        <v>304</v>
      </c>
      <c r="F47" s="175" t="s">
        <v>380</v>
      </c>
      <c r="G47" s="175" t="s">
        <v>309</v>
      </c>
      <c r="H47" s="175">
        <v>9.0399999999999991</v>
      </c>
      <c r="I47" s="176">
        <v>791.91275475127293</v>
      </c>
      <c r="J47" s="170">
        <v>139477.29999999999</v>
      </c>
      <c r="K47" s="177">
        <v>3.0786769999999963E-2</v>
      </c>
      <c r="L47" s="177">
        <v>7.8758950000000105E-2</v>
      </c>
      <c r="M47" s="177">
        <v>0.22826079999999993</v>
      </c>
      <c r="N47" s="177">
        <v>0.21017410000000014</v>
      </c>
      <c r="O47" s="177">
        <v>0.18869160000000007</v>
      </c>
      <c r="P47" s="177">
        <v>0.17708339999999989</v>
      </c>
      <c r="Q47" s="175">
        <v>6.41</v>
      </c>
      <c r="R47" s="175">
        <v>9.33</v>
      </c>
      <c r="S47" s="175">
        <v>0.80498664292074784</v>
      </c>
      <c r="T47" s="175">
        <v>0.40853137797060746</v>
      </c>
      <c r="U47" s="175">
        <v>7.9858657243816236</v>
      </c>
      <c r="V47" s="175">
        <v>7.0469476379317921</v>
      </c>
      <c r="W47" s="175" t="s">
        <v>381</v>
      </c>
      <c r="X47" s="175" t="s">
        <v>382</v>
      </c>
    </row>
    <row r="48" spans="1:24">
      <c r="A48" s="155"/>
      <c r="C48" s="168" t="s">
        <v>383</v>
      </c>
      <c r="D48" s="173" t="s">
        <v>384</v>
      </c>
      <c r="E48" s="174" t="s">
        <v>305</v>
      </c>
      <c r="F48" s="175" t="s">
        <v>385</v>
      </c>
      <c r="G48" s="175" t="s">
        <v>386</v>
      </c>
      <c r="H48" s="175">
        <v>1865.1</v>
      </c>
      <c r="I48" s="176">
        <v>4764.4229129123605</v>
      </c>
      <c r="J48" s="170">
        <v>2601685</v>
      </c>
      <c r="K48" s="177">
        <v>-1.8884800000000035E-2</v>
      </c>
      <c r="L48" s="177">
        <v>-5.6600910000000004E-2</v>
      </c>
      <c r="M48" s="177">
        <v>6.6990850000000046E-2</v>
      </c>
      <c r="N48" s="177">
        <v>0.11964219999999992</v>
      </c>
      <c r="O48" s="177">
        <v>9.7117649999999944E-2</v>
      </c>
      <c r="P48" s="177">
        <v>0.36138689999999984</v>
      </c>
      <c r="Q48" s="175">
        <v>1249.8</v>
      </c>
      <c r="R48" s="175">
        <v>2025</v>
      </c>
      <c r="S48" s="175">
        <v>0.57230305260208525</v>
      </c>
      <c r="T48" s="175">
        <v>0.58821670326850506</v>
      </c>
      <c r="U48" s="175">
        <v>9.032081351492625</v>
      </c>
      <c r="V48" s="175">
        <v>6.1921636332648804</v>
      </c>
      <c r="W48" s="175" t="s">
        <v>362</v>
      </c>
      <c r="X48" s="175" t="s">
        <v>387</v>
      </c>
    </row>
    <row r="49" spans="1:1">
      <c r="A49" s="155"/>
    </row>
    <row r="50" spans="1:1">
      <c r="A50" s="155"/>
    </row>
    <row r="51" spans="1:1">
      <c r="A51" s="155"/>
    </row>
    <row r="52" spans="1:1">
      <c r="A52" s="155"/>
    </row>
    <row r="53" spans="1:1">
      <c r="A53" s="189"/>
    </row>
    <row r="54" spans="1:1">
      <c r="A54" s="189"/>
    </row>
    <row r="55" spans="1:1">
      <c r="A55" s="189"/>
    </row>
    <row r="59" spans="1:1" ht="11.25" customHeight="1"/>
  </sheetData>
  <autoFilter ref="C4:X4" xr:uid="{52E0CFF9-940B-4079-91D5-09D20F8DF255}">
    <sortState xmlns:xlrd2="http://schemas.microsoft.com/office/spreadsheetml/2017/richdata2" ref="C5:X23">
      <sortCondition descending="1" ref="U4"/>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C1075"/>
  <sheetViews>
    <sheetView topLeftCell="A4" workbookViewId="0">
      <selection activeCell="T6" sqref="T6"/>
    </sheetView>
  </sheetViews>
  <sheetFormatPr defaultRowHeight="15.75"/>
  <cols>
    <col min="2" max="2" width="21.5703125" customWidth="1"/>
    <col min="3" max="3" width="11.7109375" bestFit="1" customWidth="1"/>
    <col min="10" max="10" width="10" bestFit="1" customWidth="1"/>
    <col min="19" max="19" width="10.42578125" style="2" bestFit="1" customWidth="1"/>
    <col min="20" max="20" width="8.85546875" style="2" bestFit="1" customWidth="1"/>
    <col min="21" max="21" width="10.42578125" style="1" bestFit="1" customWidth="1"/>
    <col min="22" max="22" width="8.85546875" style="1" bestFit="1" customWidth="1"/>
    <col min="23" max="23" width="9.140625" style="1"/>
    <col min="24" max="24" width="9.85546875" style="1" bestFit="1" customWidth="1"/>
    <col min="25" max="26" width="8.85546875" style="1" bestFit="1" customWidth="1"/>
    <col min="27" max="27" width="9.140625" style="1"/>
    <col min="28" max="29" width="8.85546875" style="1" bestFit="1" customWidth="1"/>
  </cols>
  <sheetData>
    <row r="2" spans="3:29">
      <c r="C2" s="17" t="s">
        <v>388</v>
      </c>
    </row>
    <row r="3" spans="3:29">
      <c r="S3" s="3"/>
      <c r="T3" s="5" t="s">
        <v>389</v>
      </c>
      <c r="U3" s="3"/>
      <c r="V3" s="5" t="s">
        <v>390</v>
      </c>
      <c r="X3" s="4"/>
    </row>
    <row r="4" spans="3:29">
      <c r="C4" t="s">
        <v>391</v>
      </c>
      <c r="S4" s="3" t="s">
        <v>286</v>
      </c>
      <c r="T4" s="6" t="s">
        <v>392</v>
      </c>
      <c r="U4" s="3" t="s">
        <v>286</v>
      </c>
      <c r="V4" s="6" t="s">
        <v>392</v>
      </c>
      <c r="Y4" s="3" t="str">
        <f>+T3</f>
        <v>kimbera mm equity</v>
      </c>
      <c r="Z4" s="3" t="str">
        <f>+V3</f>
        <v>Mexbol Index</v>
      </c>
      <c r="AC4" s="1" t="s">
        <v>393</v>
      </c>
    </row>
    <row r="5" spans="3:29">
      <c r="R5" t="e">
        <f ca="1">+YEAR(S5)</f>
        <v>#NAME?</v>
      </c>
      <c r="S5" s="33" t="e">
        <f ca="1">_xll.BDH(T3,T4,"1/1/2004"," ","Points",0,"Sort",FALSE,"Per=w","Days=N","Fill= ","Dts",TRUE,"Dir",FALSE,"QtTyp=P","FX= ","Quote= ","cols=2;rows=1071")</f>
        <v>#NAME?</v>
      </c>
      <c r="T5" s="8">
        <v>3.4</v>
      </c>
      <c r="U5" s="33" t="e">
        <f ca="1">_xll.BDH(V3,V4,"1/1/2004"," ","Points",0,"Sort",FALSE,"Per=w","Days=N","Fill= ","Dts",TRUE,"Dir",FALSE,"QtTyp=P","FX= ","Quote= ","cols=2;rows=1071")</f>
        <v>#NAME?</v>
      </c>
      <c r="V5" s="8">
        <v>8818.19</v>
      </c>
      <c r="X5" s="7" t="e">
        <f t="shared" ref="X5:X68" ca="1" si="0">+S5</f>
        <v>#NAME?</v>
      </c>
      <c r="Y5" s="8">
        <v>100</v>
      </c>
      <c r="Z5" s="8">
        <v>100</v>
      </c>
      <c r="AB5" s="9">
        <v>2004</v>
      </c>
      <c r="AC5" s="8">
        <f>+AVERAGE(T5:T57)</f>
        <v>3.8266037735849059</v>
      </c>
    </row>
    <row r="6" spans="3:29">
      <c r="C6" t="s">
        <v>394</v>
      </c>
      <c r="R6">
        <f>+YEAR(S6)</f>
        <v>2004</v>
      </c>
      <c r="S6" s="10">
        <v>37995</v>
      </c>
      <c r="T6" s="2">
        <v>3.4</v>
      </c>
      <c r="U6" s="10">
        <v>37995</v>
      </c>
      <c r="V6" s="2">
        <v>9102.82</v>
      </c>
      <c r="X6" s="7">
        <f t="shared" si="0"/>
        <v>37995</v>
      </c>
      <c r="Y6" s="11">
        <f t="shared" ref="Y6:Y69" si="1">+Y5*(T6/T5)</f>
        <v>100</v>
      </c>
      <c r="Z6" s="11">
        <f t="shared" ref="Z6:Z69" si="2">+Z5*(V6/V5)</f>
        <v>103.22775989176915</v>
      </c>
      <c r="AB6" s="12">
        <f t="shared" ref="AB6:AB19" si="3">+AB5+1</f>
        <v>2005</v>
      </c>
      <c r="AC6" s="8">
        <f>+AVERAGE(T58:T109)</f>
        <v>4.6859615384615392</v>
      </c>
    </row>
    <row r="7" spans="3:29">
      <c r="C7" t="s">
        <v>395</v>
      </c>
      <c r="R7">
        <f t="shared" ref="R7:R70" si="4">+YEAR(S7)</f>
        <v>2004</v>
      </c>
      <c r="S7" s="10">
        <v>38002</v>
      </c>
      <c r="T7" s="2">
        <v>3.44</v>
      </c>
      <c r="U7" s="13">
        <v>38002</v>
      </c>
      <c r="V7" s="1">
        <v>9193.81</v>
      </c>
      <c r="X7" s="7">
        <f t="shared" si="0"/>
        <v>38002</v>
      </c>
      <c r="Y7" s="11">
        <f t="shared" si="1"/>
        <v>101.17647058823529</v>
      </c>
      <c r="Z7" s="11">
        <f t="shared" si="2"/>
        <v>104.25960429521248</v>
      </c>
      <c r="AB7" s="12">
        <f t="shared" si="3"/>
        <v>2006</v>
      </c>
      <c r="AC7" s="8">
        <f>+AVERAGE(T110:T161)</f>
        <v>5.5536538461538463</v>
      </c>
    </row>
    <row r="8" spans="3:29">
      <c r="J8" s="20" t="s">
        <v>396</v>
      </c>
      <c r="R8">
        <f t="shared" si="4"/>
        <v>2004</v>
      </c>
      <c r="S8" s="10">
        <v>38009</v>
      </c>
      <c r="T8" s="2">
        <v>3.43</v>
      </c>
      <c r="U8" s="13">
        <v>38009</v>
      </c>
      <c r="V8" s="1">
        <v>9480.24</v>
      </c>
      <c r="X8" s="7">
        <f t="shared" si="0"/>
        <v>38009</v>
      </c>
      <c r="Y8" s="11">
        <f t="shared" si="1"/>
        <v>100.88235294117648</v>
      </c>
      <c r="Z8" s="11">
        <f t="shared" si="2"/>
        <v>107.50777653917638</v>
      </c>
      <c r="AB8" s="12">
        <f t="shared" si="3"/>
        <v>2007</v>
      </c>
      <c r="AC8" s="8">
        <f>+AVERAGE(T162:T213)</f>
        <v>7.1569230769230785</v>
      </c>
    </row>
    <row r="9" spans="3:29">
      <c r="J9" t="s">
        <v>397</v>
      </c>
      <c r="R9">
        <f t="shared" si="4"/>
        <v>2004</v>
      </c>
      <c r="S9" s="10">
        <v>38016</v>
      </c>
      <c r="T9" s="2">
        <v>3.46</v>
      </c>
      <c r="U9" s="13">
        <v>38016</v>
      </c>
      <c r="V9" s="1">
        <v>9428.77</v>
      </c>
      <c r="X9" s="7">
        <f t="shared" si="0"/>
        <v>38016</v>
      </c>
      <c r="Y9" s="11">
        <f t="shared" si="1"/>
        <v>101.76470588235293</v>
      </c>
      <c r="Z9" s="11">
        <f t="shared" si="2"/>
        <v>106.92409666836389</v>
      </c>
      <c r="AB9" s="12">
        <f t="shared" si="3"/>
        <v>2008</v>
      </c>
      <c r="AC9" s="8">
        <f>+AVERAGE(T214:T265)</f>
        <v>7.0124999999999984</v>
      </c>
    </row>
    <row r="10" spans="3:29">
      <c r="C10" s="16" t="s">
        <v>398</v>
      </c>
      <c r="J10" t="s">
        <v>399</v>
      </c>
      <c r="R10">
        <f t="shared" si="4"/>
        <v>2004</v>
      </c>
      <c r="S10" s="10">
        <v>38023</v>
      </c>
      <c r="T10" s="2">
        <v>3.44</v>
      </c>
      <c r="U10" s="13">
        <v>38023</v>
      </c>
      <c r="V10" s="1">
        <v>9810.77</v>
      </c>
      <c r="X10" s="7">
        <f t="shared" si="0"/>
        <v>38023</v>
      </c>
      <c r="Y10" s="11">
        <f t="shared" si="1"/>
        <v>101.17647058823528</v>
      </c>
      <c r="Z10" s="11">
        <f t="shared" si="2"/>
        <v>111.25605141191102</v>
      </c>
      <c r="AB10" s="12">
        <f t="shared" si="3"/>
        <v>2009</v>
      </c>
      <c r="AC10" s="8">
        <f>+AVERAGE(T266:T317)</f>
        <v>8.7878846153846162</v>
      </c>
    </row>
    <row r="11" spans="3:29">
      <c r="C11" t="s">
        <v>400</v>
      </c>
      <c r="J11" t="s">
        <v>401</v>
      </c>
      <c r="R11">
        <f t="shared" si="4"/>
        <v>2004</v>
      </c>
      <c r="S11" s="10">
        <v>38030</v>
      </c>
      <c r="T11" s="2">
        <v>3.48</v>
      </c>
      <c r="U11" s="13">
        <v>38030</v>
      </c>
      <c r="V11" s="1">
        <v>9982.8700000000008</v>
      </c>
      <c r="X11" s="7">
        <f t="shared" si="0"/>
        <v>38030</v>
      </c>
      <c r="Y11" s="11">
        <f t="shared" si="1"/>
        <v>102.35294117647057</v>
      </c>
      <c r="Z11" s="11">
        <f t="shared" si="2"/>
        <v>113.20769908563997</v>
      </c>
      <c r="AB11" s="12">
        <f t="shared" si="3"/>
        <v>2010</v>
      </c>
      <c r="AC11" s="8">
        <f>+AVERAGE(T318:T370)</f>
        <v>12.806792452830184</v>
      </c>
    </row>
    <row r="12" spans="3:29">
      <c r="C12" t="s">
        <v>402</v>
      </c>
      <c r="R12">
        <f t="shared" si="4"/>
        <v>2004</v>
      </c>
      <c r="S12" s="10">
        <v>38037</v>
      </c>
      <c r="T12" s="2">
        <v>3.49</v>
      </c>
      <c r="U12" s="13">
        <v>38037</v>
      </c>
      <c r="V12" s="1">
        <v>9888.73</v>
      </c>
      <c r="X12" s="7">
        <f t="shared" si="0"/>
        <v>38037</v>
      </c>
      <c r="Y12" s="11">
        <f t="shared" si="1"/>
        <v>102.64705882352941</v>
      </c>
      <c r="Z12" s="11">
        <f t="shared" si="2"/>
        <v>112.14013306585585</v>
      </c>
      <c r="AB12" s="12">
        <f t="shared" si="3"/>
        <v>2011</v>
      </c>
      <c r="AC12" s="8">
        <f>+AVERAGE(T371:T422)</f>
        <v>13.387692307692308</v>
      </c>
    </row>
    <row r="13" spans="3:29">
      <c r="C13" s="17" t="s">
        <v>403</v>
      </c>
      <c r="J13">
        <v>3141564</v>
      </c>
      <c r="R13">
        <f t="shared" si="4"/>
        <v>2004</v>
      </c>
      <c r="S13" s="10">
        <v>38044</v>
      </c>
      <c r="T13" s="2">
        <v>3.46</v>
      </c>
      <c r="U13" s="13">
        <v>38044</v>
      </c>
      <c r="V13" s="1">
        <v>9991.7999999999993</v>
      </c>
      <c r="X13" s="7">
        <f t="shared" si="0"/>
        <v>38044</v>
      </c>
      <c r="Y13" s="11">
        <f t="shared" si="1"/>
        <v>101.76470588235293</v>
      </c>
      <c r="Z13" s="11">
        <f t="shared" si="2"/>
        <v>113.30896703291712</v>
      </c>
      <c r="AB13" s="12">
        <f t="shared" si="3"/>
        <v>2012</v>
      </c>
      <c r="AC13" s="8">
        <f>+AVERAGE(T423:T474)</f>
        <v>16.131346153846149</v>
      </c>
    </row>
    <row r="14" spans="3:29">
      <c r="J14">
        <f>+J13*30</f>
        <v>94246920</v>
      </c>
      <c r="R14">
        <f t="shared" si="4"/>
        <v>2004</v>
      </c>
      <c r="S14" s="10">
        <v>38051</v>
      </c>
      <c r="T14" s="2">
        <v>3.45</v>
      </c>
      <c r="U14" s="13">
        <v>38051</v>
      </c>
      <c r="V14" s="1">
        <v>10195.030000000001</v>
      </c>
      <c r="X14" s="7">
        <f t="shared" si="0"/>
        <v>38051</v>
      </c>
      <c r="Y14" s="11">
        <f t="shared" si="1"/>
        <v>101.47058823529412</v>
      </c>
      <c r="Z14" s="11">
        <f t="shared" si="2"/>
        <v>115.61363499765821</v>
      </c>
      <c r="AB14" s="12">
        <f t="shared" si="3"/>
        <v>2013</v>
      </c>
      <c r="AC14" s="8">
        <f>+AVERAGE(T475:T526)</f>
        <v>23.972115384615389</v>
      </c>
    </row>
    <row r="15" spans="3:29">
      <c r="R15">
        <f t="shared" si="4"/>
        <v>2004</v>
      </c>
      <c r="S15" s="10">
        <v>38058</v>
      </c>
      <c r="T15" s="2">
        <v>3.36</v>
      </c>
      <c r="U15" s="13">
        <v>38058</v>
      </c>
      <c r="V15" s="1">
        <v>9837.33</v>
      </c>
      <c r="X15" s="7">
        <f t="shared" si="0"/>
        <v>38058</v>
      </c>
      <c r="Y15" s="11">
        <f t="shared" si="1"/>
        <v>98.823529411764696</v>
      </c>
      <c r="Z15" s="11">
        <f t="shared" si="2"/>
        <v>111.55724700873985</v>
      </c>
      <c r="AB15" s="12">
        <f t="shared" si="3"/>
        <v>2014</v>
      </c>
      <c r="AC15" s="8">
        <f>+AVERAGE(T527:T578)</f>
        <v>21.182307692307692</v>
      </c>
    </row>
    <row r="16" spans="3:29">
      <c r="C16" t="s">
        <v>404</v>
      </c>
      <c r="J16" t="s">
        <v>405</v>
      </c>
      <c r="R16">
        <f t="shared" si="4"/>
        <v>2004</v>
      </c>
      <c r="S16" s="10">
        <v>38065</v>
      </c>
      <c r="T16" s="2">
        <v>3.35</v>
      </c>
      <c r="U16" s="13">
        <v>38065</v>
      </c>
      <c r="V16" s="1">
        <v>10039.68</v>
      </c>
      <c r="X16" s="7">
        <f t="shared" si="0"/>
        <v>38065</v>
      </c>
      <c r="Y16" s="11">
        <f t="shared" si="1"/>
        <v>98.52941176470587</v>
      </c>
      <c r="Z16" s="11">
        <f t="shared" si="2"/>
        <v>113.85193560129683</v>
      </c>
      <c r="AB16" s="12">
        <f t="shared" si="3"/>
        <v>2015</v>
      </c>
      <c r="AC16" s="8">
        <f>+AVERAGE(T579:T630)</f>
        <v>23.135384615384623</v>
      </c>
    </row>
    <row r="17" spans="3:29">
      <c r="C17" s="17" t="s">
        <v>406</v>
      </c>
      <c r="J17" t="s">
        <v>407</v>
      </c>
      <c r="R17">
        <f t="shared" si="4"/>
        <v>2004</v>
      </c>
      <c r="S17" s="10">
        <v>38072</v>
      </c>
      <c r="T17" s="2">
        <v>3.49</v>
      </c>
      <c r="U17" s="13">
        <v>38072</v>
      </c>
      <c r="V17" s="1">
        <v>10432</v>
      </c>
      <c r="X17" s="7">
        <f t="shared" si="0"/>
        <v>38072</v>
      </c>
      <c r="Y17" s="11">
        <f t="shared" si="1"/>
        <v>102.64705882352939</v>
      </c>
      <c r="Z17" s="11">
        <f t="shared" si="2"/>
        <v>118.30092116409371</v>
      </c>
      <c r="AB17" s="12">
        <f t="shared" si="3"/>
        <v>2016</v>
      </c>
      <c r="AC17" s="8">
        <f>+AVERAGE(T631:T683)</f>
        <v>28.229811320754717</v>
      </c>
    </row>
    <row r="18" spans="3:29">
      <c r="C18" t="s">
        <v>408</v>
      </c>
      <c r="R18">
        <f t="shared" si="4"/>
        <v>2004</v>
      </c>
      <c r="S18" s="10">
        <v>38079</v>
      </c>
      <c r="T18" s="2">
        <v>3.68</v>
      </c>
      <c r="U18" s="13">
        <v>38079</v>
      </c>
      <c r="V18" s="1">
        <v>10713.54</v>
      </c>
      <c r="X18" s="7">
        <f t="shared" si="0"/>
        <v>38079</v>
      </c>
      <c r="Y18" s="11">
        <f t="shared" si="1"/>
        <v>108.23529411764703</v>
      </c>
      <c r="Z18" s="11">
        <f t="shared" si="2"/>
        <v>121.49363985126193</v>
      </c>
      <c r="AB18" s="12">
        <f t="shared" si="3"/>
        <v>2017</v>
      </c>
      <c r="AC18" s="8">
        <f>+AVERAGE(T684:T735)</f>
        <v>25.858076923076929</v>
      </c>
    </row>
    <row r="19" spans="3:29">
      <c r="R19">
        <f t="shared" si="4"/>
        <v>2004</v>
      </c>
      <c r="S19" s="10">
        <v>38086</v>
      </c>
      <c r="T19" s="2">
        <v>3.71</v>
      </c>
      <c r="U19" s="13">
        <v>38086</v>
      </c>
      <c r="V19" s="1">
        <v>10746.58</v>
      </c>
      <c r="X19" s="7">
        <f t="shared" si="0"/>
        <v>38086</v>
      </c>
      <c r="Y19" s="11">
        <f t="shared" si="1"/>
        <v>109.11764705882349</v>
      </c>
      <c r="Z19" s="11">
        <f t="shared" si="2"/>
        <v>121.86831991599176</v>
      </c>
      <c r="AB19" s="12">
        <f t="shared" si="3"/>
        <v>2018</v>
      </c>
      <c r="AC19" s="8">
        <f>+AVERAGE(T685:T788)</f>
        <v>25.124134615384612</v>
      </c>
    </row>
    <row r="20" spans="3:29">
      <c r="C20" t="s">
        <v>409</v>
      </c>
      <c r="R20">
        <f t="shared" si="4"/>
        <v>2004</v>
      </c>
      <c r="S20" s="10">
        <v>38093</v>
      </c>
      <c r="T20" s="2">
        <v>3.68</v>
      </c>
      <c r="U20" s="13">
        <v>38093</v>
      </c>
      <c r="V20" s="1">
        <v>10677.14</v>
      </c>
      <c r="X20" s="7">
        <f t="shared" si="0"/>
        <v>38093</v>
      </c>
      <c r="Y20" s="11">
        <f t="shared" si="1"/>
        <v>108.23529411764703</v>
      </c>
      <c r="Z20" s="11">
        <f t="shared" si="2"/>
        <v>121.08085672910192</v>
      </c>
      <c r="AB20" s="12">
        <f>+AB19+1</f>
        <v>2019</v>
      </c>
      <c r="AC20" s="8">
        <f>+AVERAGE(T788:T839)</f>
        <v>27.903269230769233</v>
      </c>
    </row>
    <row r="21" spans="3:29">
      <c r="R21">
        <f t="shared" si="4"/>
        <v>2004</v>
      </c>
      <c r="S21" s="10">
        <v>38100</v>
      </c>
      <c r="T21" s="2">
        <v>3.74</v>
      </c>
      <c r="U21" s="13">
        <v>38100</v>
      </c>
      <c r="V21" s="1">
        <v>10721.62</v>
      </c>
      <c r="X21" s="7">
        <f t="shared" si="0"/>
        <v>38100</v>
      </c>
      <c r="Y21" s="11">
        <f t="shared" si="1"/>
        <v>109.99999999999997</v>
      </c>
      <c r="Z21" s="11">
        <f t="shared" si="2"/>
        <v>121.58526863222492</v>
      </c>
      <c r="AB21" s="12">
        <f>+AB20+1</f>
        <v>2020</v>
      </c>
      <c r="AC21" s="8">
        <f>+AVERAGE(T840:T891)</f>
        <v>28.557884615384605</v>
      </c>
    </row>
    <row r="22" spans="3:29">
      <c r="R22">
        <f t="shared" si="4"/>
        <v>2004</v>
      </c>
      <c r="S22" s="10">
        <v>38107</v>
      </c>
      <c r="T22" s="2">
        <v>3.63</v>
      </c>
      <c r="U22" s="13">
        <v>38107</v>
      </c>
      <c r="V22" s="1">
        <v>9948.1299999999992</v>
      </c>
      <c r="X22" s="7">
        <f t="shared" si="0"/>
        <v>38107</v>
      </c>
      <c r="Y22" s="11">
        <f t="shared" si="1"/>
        <v>106.7647058823529</v>
      </c>
      <c r="Z22" s="11">
        <f t="shared" si="2"/>
        <v>112.81374068828177</v>
      </c>
      <c r="AB22" s="12">
        <f>+AB21+1</f>
        <v>2021</v>
      </c>
      <c r="AC22" s="8">
        <f>+AVERAGE(T892:T944)</f>
        <v>28.982264150943404</v>
      </c>
    </row>
    <row r="23" spans="3:29">
      <c r="C23" t="s">
        <v>410</v>
      </c>
      <c r="R23">
        <f t="shared" si="4"/>
        <v>2004</v>
      </c>
      <c r="S23" s="10">
        <v>38114</v>
      </c>
      <c r="T23" s="2">
        <v>3.55</v>
      </c>
      <c r="U23" s="13">
        <v>38114</v>
      </c>
      <c r="V23" s="1">
        <v>9790.99</v>
      </c>
      <c r="X23" s="7">
        <f t="shared" si="0"/>
        <v>38114</v>
      </c>
      <c r="Y23" s="11">
        <f t="shared" si="1"/>
        <v>104.41176470588231</v>
      </c>
      <c r="Z23" s="11">
        <f t="shared" si="2"/>
        <v>111.0317423416823</v>
      </c>
      <c r="AB23" s="12">
        <f>+AB22+1</f>
        <v>2022</v>
      </c>
      <c r="AC23" s="8">
        <f>+AVERAGE(T995:T996)</f>
        <v>31.2</v>
      </c>
    </row>
    <row r="24" spans="3:29">
      <c r="C24" s="17" t="s">
        <v>411</v>
      </c>
      <c r="R24">
        <f t="shared" si="4"/>
        <v>2004</v>
      </c>
      <c r="S24" s="10">
        <v>38121</v>
      </c>
      <c r="T24" s="2">
        <v>3.49</v>
      </c>
      <c r="U24" s="13">
        <v>38121</v>
      </c>
      <c r="V24" s="1">
        <v>9786.32</v>
      </c>
      <c r="X24" s="7">
        <f t="shared" si="0"/>
        <v>38121</v>
      </c>
      <c r="Y24" s="11">
        <f t="shared" si="1"/>
        <v>102.64705882352938</v>
      </c>
      <c r="Z24" s="11">
        <f t="shared" si="2"/>
        <v>110.97878362793266</v>
      </c>
    </row>
    <row r="25" spans="3:29">
      <c r="R25">
        <f t="shared" si="4"/>
        <v>2004</v>
      </c>
      <c r="S25" s="10">
        <v>38128</v>
      </c>
      <c r="T25" s="2">
        <v>3.52</v>
      </c>
      <c r="U25" s="13">
        <v>38128</v>
      </c>
      <c r="V25" s="1">
        <v>9822.39</v>
      </c>
      <c r="X25" s="7">
        <f t="shared" si="0"/>
        <v>38128</v>
      </c>
      <c r="Y25" s="11">
        <f t="shared" si="1"/>
        <v>103.52941176470584</v>
      </c>
      <c r="Z25" s="11">
        <f t="shared" si="2"/>
        <v>111.38782448552361</v>
      </c>
    </row>
    <row r="26" spans="3:29">
      <c r="R26">
        <f t="shared" si="4"/>
        <v>2004</v>
      </c>
      <c r="S26" s="10">
        <v>38135</v>
      </c>
      <c r="T26" s="2">
        <v>3.59</v>
      </c>
      <c r="U26" s="13">
        <v>38135</v>
      </c>
      <c r="V26" s="1">
        <v>10028.42</v>
      </c>
      <c r="X26" s="7">
        <f t="shared" si="0"/>
        <v>38135</v>
      </c>
      <c r="Y26" s="11">
        <f t="shared" si="1"/>
        <v>105.5882352941176</v>
      </c>
      <c r="Z26" s="11">
        <f t="shared" si="2"/>
        <v>113.72424499812314</v>
      </c>
    </row>
    <row r="27" spans="3:29">
      <c r="C27" t="s">
        <v>412</v>
      </c>
      <c r="R27">
        <f t="shared" si="4"/>
        <v>2004</v>
      </c>
      <c r="S27" s="10">
        <v>38142</v>
      </c>
      <c r="T27" s="2">
        <v>3.58</v>
      </c>
      <c r="U27" s="13">
        <v>38142</v>
      </c>
      <c r="V27" s="1">
        <v>10057.59</v>
      </c>
      <c r="X27" s="7">
        <f t="shared" si="0"/>
        <v>38142</v>
      </c>
      <c r="Y27" s="11">
        <f t="shared" si="1"/>
        <v>105.29411764705877</v>
      </c>
      <c r="Z27" s="11">
        <f t="shared" si="2"/>
        <v>114.05503850563433</v>
      </c>
    </row>
    <row r="28" spans="3:29">
      <c r="R28">
        <f t="shared" si="4"/>
        <v>2004</v>
      </c>
      <c r="S28" s="10">
        <v>38149</v>
      </c>
      <c r="T28" s="2">
        <v>3.66</v>
      </c>
      <c r="U28" s="13">
        <v>38149</v>
      </c>
      <c r="V28" s="1">
        <v>10214.51</v>
      </c>
      <c r="X28" s="7">
        <f t="shared" si="0"/>
        <v>38149</v>
      </c>
      <c r="Y28" s="11">
        <f t="shared" si="1"/>
        <v>107.64705882352935</v>
      </c>
      <c r="Z28" s="11">
        <f t="shared" si="2"/>
        <v>115.83454200918779</v>
      </c>
    </row>
    <row r="29" spans="3:29">
      <c r="R29">
        <f t="shared" si="4"/>
        <v>2004</v>
      </c>
      <c r="S29" s="10">
        <v>38156</v>
      </c>
      <c r="T29" s="2">
        <v>3.61</v>
      </c>
      <c r="U29" s="13">
        <v>38156</v>
      </c>
      <c r="V29" s="1">
        <v>10224.39</v>
      </c>
      <c r="X29" s="7">
        <f t="shared" si="0"/>
        <v>38156</v>
      </c>
      <c r="Y29" s="11">
        <f t="shared" si="1"/>
        <v>106.17647058823522</v>
      </c>
      <c r="Z29" s="11">
        <f t="shared" si="2"/>
        <v>115.94658314234549</v>
      </c>
    </row>
    <row r="30" spans="3:29">
      <c r="R30">
        <f t="shared" si="4"/>
        <v>2004</v>
      </c>
      <c r="S30" s="10">
        <v>38163</v>
      </c>
      <c r="T30" s="2">
        <v>3.75</v>
      </c>
      <c r="U30" s="13">
        <v>38163</v>
      </c>
      <c r="V30" s="1">
        <v>10128.790000000001</v>
      </c>
      <c r="X30" s="7">
        <f t="shared" si="0"/>
        <v>38163</v>
      </c>
      <c r="Y30" s="11">
        <f t="shared" si="1"/>
        <v>110.29411764705875</v>
      </c>
      <c r="Z30" s="11">
        <f t="shared" si="2"/>
        <v>114.86246043689235</v>
      </c>
    </row>
    <row r="31" spans="3:29">
      <c r="R31">
        <f t="shared" si="4"/>
        <v>2004</v>
      </c>
      <c r="S31" s="10">
        <v>38170</v>
      </c>
      <c r="T31" s="2">
        <v>3.78</v>
      </c>
      <c r="U31" s="13">
        <v>38170</v>
      </c>
      <c r="V31" s="1">
        <v>10240.84</v>
      </c>
      <c r="X31" s="7">
        <f t="shared" si="0"/>
        <v>38170</v>
      </c>
      <c r="Y31" s="11">
        <f t="shared" si="1"/>
        <v>111.17647058823522</v>
      </c>
      <c r="Z31" s="11">
        <f t="shared" si="2"/>
        <v>116.13312936101396</v>
      </c>
    </row>
    <row r="32" spans="3:29">
      <c r="R32">
        <f t="shared" si="4"/>
        <v>2004</v>
      </c>
      <c r="S32" s="10">
        <v>38177</v>
      </c>
      <c r="T32" s="2">
        <v>3.66</v>
      </c>
      <c r="U32" s="13">
        <v>38177</v>
      </c>
      <c r="V32" s="1">
        <v>10042.34</v>
      </c>
      <c r="X32" s="7">
        <f t="shared" si="0"/>
        <v>38177</v>
      </c>
      <c r="Y32" s="11">
        <f t="shared" si="1"/>
        <v>107.64705882352935</v>
      </c>
      <c r="Z32" s="11">
        <f t="shared" si="2"/>
        <v>113.88210052176235</v>
      </c>
    </row>
    <row r="33" spans="2:26">
      <c r="R33">
        <f t="shared" si="4"/>
        <v>2004</v>
      </c>
      <c r="S33" s="10">
        <v>38184</v>
      </c>
      <c r="T33" s="2">
        <v>3.5</v>
      </c>
      <c r="U33" s="13">
        <v>38184</v>
      </c>
      <c r="V33" s="1">
        <v>9923.92</v>
      </c>
      <c r="X33" s="7">
        <f t="shared" si="0"/>
        <v>38184</v>
      </c>
      <c r="Y33" s="11">
        <f t="shared" si="1"/>
        <v>102.94117647058818</v>
      </c>
      <c r="Z33" s="11">
        <f t="shared" si="2"/>
        <v>112.53919455126274</v>
      </c>
    </row>
    <row r="34" spans="2:26">
      <c r="R34">
        <f t="shared" si="4"/>
        <v>2004</v>
      </c>
      <c r="S34" s="10">
        <v>38191</v>
      </c>
      <c r="T34" s="2">
        <v>3.65</v>
      </c>
      <c r="U34" s="13">
        <v>38191</v>
      </c>
      <c r="V34" s="1">
        <v>9907.67</v>
      </c>
      <c r="X34" s="7">
        <f t="shared" si="0"/>
        <v>38191</v>
      </c>
      <c r="Y34" s="11">
        <f t="shared" si="1"/>
        <v>107.35294117647054</v>
      </c>
      <c r="Z34" s="11">
        <f t="shared" si="2"/>
        <v>112.35491637172703</v>
      </c>
    </row>
    <row r="35" spans="2:26">
      <c r="R35">
        <f t="shared" si="4"/>
        <v>2004</v>
      </c>
      <c r="S35" s="10">
        <v>38198</v>
      </c>
      <c r="T35" s="2">
        <v>3.74</v>
      </c>
      <c r="U35" s="13">
        <v>38198</v>
      </c>
      <c r="V35" s="1">
        <v>10116.39</v>
      </c>
      <c r="X35" s="7">
        <f t="shared" si="0"/>
        <v>38198</v>
      </c>
      <c r="Y35" s="11">
        <f t="shared" si="1"/>
        <v>109.99999999999994</v>
      </c>
      <c r="Z35" s="11">
        <f t="shared" si="2"/>
        <v>114.721842010662</v>
      </c>
    </row>
    <row r="36" spans="2:26">
      <c r="R36">
        <f t="shared" si="4"/>
        <v>2004</v>
      </c>
      <c r="S36" s="10">
        <v>38205</v>
      </c>
      <c r="T36" s="2">
        <v>3.72</v>
      </c>
      <c r="U36" s="13">
        <v>38205</v>
      </c>
      <c r="V36" s="1">
        <v>9866.1299999999992</v>
      </c>
      <c r="X36" s="7">
        <f t="shared" si="0"/>
        <v>38205</v>
      </c>
      <c r="Y36" s="11">
        <f t="shared" si="1"/>
        <v>109.41176470588229</v>
      </c>
      <c r="Z36" s="11">
        <f t="shared" si="2"/>
        <v>111.88384464385543</v>
      </c>
    </row>
    <row r="37" spans="2:26">
      <c r="R37">
        <f t="shared" si="4"/>
        <v>2004</v>
      </c>
      <c r="S37" s="10">
        <v>38212</v>
      </c>
      <c r="T37" s="2">
        <v>3.77</v>
      </c>
      <c r="U37" s="13">
        <v>38212</v>
      </c>
      <c r="V37" s="1">
        <v>9790.6200000000008</v>
      </c>
      <c r="X37" s="7">
        <f t="shared" si="0"/>
        <v>38212</v>
      </c>
      <c r="Y37" s="11">
        <f t="shared" si="1"/>
        <v>110.88235294117641</v>
      </c>
      <c r="Z37" s="11">
        <f t="shared" si="2"/>
        <v>111.02754646928673</v>
      </c>
    </row>
    <row r="38" spans="2:26">
      <c r="R38">
        <f t="shared" si="4"/>
        <v>2004</v>
      </c>
      <c r="S38" s="10">
        <v>38219</v>
      </c>
      <c r="T38" s="2">
        <v>3.78</v>
      </c>
      <c r="U38" s="13">
        <v>38219</v>
      </c>
      <c r="V38" s="1">
        <v>10143.43</v>
      </c>
      <c r="X38" s="7">
        <f t="shared" si="0"/>
        <v>38219</v>
      </c>
      <c r="Y38" s="11">
        <f t="shared" si="1"/>
        <v>111.17647058823522</v>
      </c>
      <c r="Z38" s="11">
        <f t="shared" si="2"/>
        <v>115.02848090140942</v>
      </c>
    </row>
    <row r="39" spans="2:26">
      <c r="R39">
        <f t="shared" si="4"/>
        <v>2004</v>
      </c>
      <c r="S39" s="10">
        <v>38226</v>
      </c>
      <c r="T39" s="2">
        <v>3.68</v>
      </c>
      <c r="U39" s="13">
        <v>38226</v>
      </c>
      <c r="V39" s="1">
        <v>10225.06</v>
      </c>
      <c r="X39" s="7">
        <f t="shared" si="0"/>
        <v>38226</v>
      </c>
      <c r="Y39" s="11">
        <f t="shared" si="1"/>
        <v>108.23529411764699</v>
      </c>
      <c r="Z39" s="11">
        <f t="shared" si="2"/>
        <v>115.95418107344018</v>
      </c>
    </row>
    <row r="40" spans="2:26">
      <c r="R40">
        <f t="shared" si="4"/>
        <v>2004</v>
      </c>
      <c r="S40" s="10">
        <v>38233</v>
      </c>
      <c r="T40" s="2">
        <v>3.9</v>
      </c>
      <c r="U40" s="13">
        <v>38233</v>
      </c>
      <c r="V40" s="1">
        <v>10335.01</v>
      </c>
      <c r="X40" s="7">
        <f t="shared" si="0"/>
        <v>38233</v>
      </c>
      <c r="Y40" s="11">
        <f t="shared" si="1"/>
        <v>114.70588235294109</v>
      </c>
      <c r="Z40" s="11">
        <f t="shared" si="2"/>
        <v>117.20103558666797</v>
      </c>
    </row>
    <row r="41" spans="2:26">
      <c r="R41">
        <f t="shared" si="4"/>
        <v>2004</v>
      </c>
      <c r="S41" s="10">
        <v>38240</v>
      </c>
      <c r="T41" s="2">
        <v>4.09</v>
      </c>
      <c r="U41" s="13">
        <v>38240</v>
      </c>
      <c r="V41" s="1">
        <v>10661.53</v>
      </c>
      <c r="X41" s="7">
        <f t="shared" si="0"/>
        <v>38240</v>
      </c>
      <c r="Y41" s="11">
        <f t="shared" si="1"/>
        <v>120.29411764705874</v>
      </c>
      <c r="Z41" s="11">
        <f t="shared" si="2"/>
        <v>120.90383627479106</v>
      </c>
    </row>
    <row r="42" spans="2:26">
      <c r="R42">
        <f t="shared" si="4"/>
        <v>2004</v>
      </c>
      <c r="S42" s="10">
        <v>38247</v>
      </c>
      <c r="T42" s="2">
        <v>4.01</v>
      </c>
      <c r="U42" s="13">
        <v>38247</v>
      </c>
      <c r="V42" s="1">
        <v>10790.53</v>
      </c>
      <c r="X42" s="7">
        <f t="shared" si="0"/>
        <v>38247</v>
      </c>
      <c r="Y42" s="11">
        <f t="shared" si="1"/>
        <v>117.94117647058816</v>
      </c>
      <c r="Z42" s="11">
        <f t="shared" si="2"/>
        <v>122.36672151541299</v>
      </c>
    </row>
    <row r="43" spans="2:26">
      <c r="R43">
        <f t="shared" si="4"/>
        <v>2004</v>
      </c>
      <c r="S43" s="10">
        <v>38254</v>
      </c>
      <c r="T43" s="2">
        <v>4.03</v>
      </c>
      <c r="U43" s="13">
        <v>38254</v>
      </c>
      <c r="V43" s="1">
        <v>10856.44</v>
      </c>
      <c r="X43" s="7">
        <f t="shared" si="0"/>
        <v>38254</v>
      </c>
      <c r="Y43" s="11">
        <f t="shared" si="1"/>
        <v>118.52941176470583</v>
      </c>
      <c r="Z43" s="11">
        <f t="shared" si="2"/>
        <v>123.11415381160982</v>
      </c>
    </row>
    <row r="44" spans="2:26">
      <c r="R44">
        <f t="shared" si="4"/>
        <v>2004</v>
      </c>
      <c r="S44" s="10">
        <v>38261</v>
      </c>
      <c r="T44" s="2">
        <v>4.09</v>
      </c>
      <c r="U44" s="13">
        <v>38261</v>
      </c>
      <c r="V44" s="1">
        <v>11078.26</v>
      </c>
      <c r="X44" s="7">
        <f t="shared" si="0"/>
        <v>38261</v>
      </c>
      <c r="Y44" s="11">
        <f t="shared" si="1"/>
        <v>120.29411764705875</v>
      </c>
      <c r="Z44" s="11">
        <f t="shared" si="2"/>
        <v>125.62963601373973</v>
      </c>
    </row>
    <row r="45" spans="2:26">
      <c r="B45" s="24" t="s">
        <v>413</v>
      </c>
      <c r="C45" s="25" t="s">
        <v>414</v>
      </c>
      <c r="D45" s="25" t="s">
        <v>415</v>
      </c>
      <c r="E45" s="25" t="s">
        <v>416</v>
      </c>
      <c r="F45" s="25" t="s">
        <v>417</v>
      </c>
      <c r="G45" s="25" t="s">
        <v>418</v>
      </c>
      <c r="H45" s="25" t="s">
        <v>392</v>
      </c>
      <c r="I45" s="25" t="s">
        <v>419</v>
      </c>
      <c r="R45">
        <f t="shared" si="4"/>
        <v>2004</v>
      </c>
      <c r="S45" s="10">
        <v>38268</v>
      </c>
      <c r="T45" s="2">
        <v>4.12</v>
      </c>
      <c r="U45" s="13">
        <v>38268</v>
      </c>
      <c r="V45" s="1">
        <v>10920.97</v>
      </c>
      <c r="X45" s="7">
        <f t="shared" si="0"/>
        <v>38268</v>
      </c>
      <c r="Y45" s="11">
        <f t="shared" si="1"/>
        <v>121.17647058823522</v>
      </c>
      <c r="Z45" s="11">
        <f t="shared" si="2"/>
        <v>123.84593663779069</v>
      </c>
    </row>
    <row r="46" spans="2:26">
      <c r="B46" s="26" t="s">
        <v>420</v>
      </c>
      <c r="C46" s="27">
        <f>+_xll.BDP($B46,C$45)/100</f>
        <v>7.17E-2</v>
      </c>
      <c r="D46" s="27" t="str">
        <f>+_xll.BDP($B46,D$45)</f>
        <v>MXN</v>
      </c>
      <c r="E46" s="28" t="str">
        <f>+_xll.BDP($B46,E$45)</f>
        <v>11/11/10</v>
      </c>
      <c r="F46" s="28" t="str">
        <f>+_xll.BDP($B46,F$45)</f>
        <v>10/29/20</v>
      </c>
      <c r="G46" s="29">
        <f>+_xll.BDP($B46,G$45)/1000</f>
        <v>0</v>
      </c>
      <c r="H46" s="27" t="e">
        <f>+_xll.BDP($B46,H$45)/100</f>
        <v>#VALUE!</v>
      </c>
      <c r="I46" s="27" t="e">
        <f>+_xll.BDP($B46,I$45)/100</f>
        <v>#VALUE!</v>
      </c>
      <c r="R46">
        <f t="shared" si="4"/>
        <v>2004</v>
      </c>
      <c r="S46" s="10">
        <v>38275</v>
      </c>
      <c r="T46" s="2">
        <v>4.08</v>
      </c>
      <c r="U46" s="13">
        <v>38275</v>
      </c>
      <c r="V46" s="1">
        <v>10991.43</v>
      </c>
      <c r="X46" s="7">
        <f t="shared" si="0"/>
        <v>38275</v>
      </c>
      <c r="Y46" s="11">
        <f t="shared" si="1"/>
        <v>119.99999999999993</v>
      </c>
      <c r="Z46" s="11">
        <f t="shared" si="2"/>
        <v>124.64496682425755</v>
      </c>
    </row>
    <row r="47" spans="2:26">
      <c r="B47" s="26" t="s">
        <v>421</v>
      </c>
      <c r="C47" s="27">
        <f>+_xll.BDP($B47,C$45)/100</f>
        <v>6.9800000000000001E-2</v>
      </c>
      <c r="D47" s="27" t="str">
        <f>+_xll.BDP($B47,D$45)</f>
        <v>MXN</v>
      </c>
      <c r="E47" s="28" t="str">
        <f>+_xll.BDP($B47,E$45)</f>
        <v>09/30/13</v>
      </c>
      <c r="F47" s="28" t="str">
        <f>+_xll.BDP($B47,F$45)</f>
        <v>09/18/23</v>
      </c>
      <c r="G47" s="29">
        <f>+_xll.BDP($B47,G$45)/1000</f>
        <v>0</v>
      </c>
      <c r="H47" s="27" t="e">
        <f>+_xll.BDP($B47,H$45)/100</f>
        <v>#VALUE!</v>
      </c>
      <c r="I47" s="27" t="e">
        <f>+_xll.BDP($B47,I$45)/100</f>
        <v>#VALUE!</v>
      </c>
      <c r="R47">
        <f t="shared" si="4"/>
        <v>2004</v>
      </c>
      <c r="S47" s="10">
        <v>38282</v>
      </c>
      <c r="T47" s="2">
        <v>4.0999999999999996</v>
      </c>
      <c r="U47" s="13">
        <v>38282</v>
      </c>
      <c r="V47" s="1">
        <v>11226.08</v>
      </c>
      <c r="X47" s="7">
        <f t="shared" si="0"/>
        <v>38282</v>
      </c>
      <c r="Y47" s="11">
        <f t="shared" si="1"/>
        <v>120.58823529411757</v>
      </c>
      <c r="Z47" s="11">
        <f t="shared" si="2"/>
        <v>127.30594373675319</v>
      </c>
    </row>
    <row r="48" spans="2:26">
      <c r="B48" s="26" t="s">
        <v>422</v>
      </c>
      <c r="C48" s="27">
        <f>+_xll.BDP($B48,C$45)/100</f>
        <v>3.7999999999999999E-2</v>
      </c>
      <c r="D48" s="27" t="str">
        <f>+_xll.BDP($B48,D$45)</f>
        <v>USD</v>
      </c>
      <c r="E48" s="28" t="str">
        <f>+_xll.BDP($B48,E$45)</f>
        <v>04/08/14</v>
      </c>
      <c r="F48" s="28" t="str">
        <f>+_xll.BDP($B48,F$45)</f>
        <v>04/08/24</v>
      </c>
      <c r="G48" s="29">
        <f>+_xll.BDP($B48,G$45)/1000</f>
        <v>0</v>
      </c>
      <c r="H48" s="27" t="e">
        <f>+_xll.BDP($B48,H$45)/100</f>
        <v>#VALUE!</v>
      </c>
      <c r="I48" s="27" t="e">
        <f>+_xll.BDP($B48,I$45)/100</f>
        <v>#VALUE!</v>
      </c>
      <c r="R48">
        <f t="shared" si="4"/>
        <v>2004</v>
      </c>
      <c r="S48" s="10">
        <v>38289</v>
      </c>
      <c r="T48" s="2">
        <v>4.2699999999999996</v>
      </c>
      <c r="U48" s="13">
        <v>38289</v>
      </c>
      <c r="V48" s="1">
        <v>11564.35</v>
      </c>
      <c r="X48" s="7">
        <f t="shared" si="0"/>
        <v>38289</v>
      </c>
      <c r="Y48" s="11">
        <f t="shared" si="1"/>
        <v>125.58823529411757</v>
      </c>
      <c r="Z48" s="11">
        <f t="shared" si="2"/>
        <v>131.14199172392517</v>
      </c>
    </row>
    <row r="49" spans="2:26">
      <c r="B49" s="26" t="s">
        <v>423</v>
      </c>
      <c r="C49" s="27">
        <f>+_xll.BDP($B49,C$45)/100</f>
        <v>3.2500000000000001E-2</v>
      </c>
      <c r="D49" s="27" t="str">
        <f>+_xll.BDP($B49,D$45)</f>
        <v>USD</v>
      </c>
      <c r="E49" s="28" t="str">
        <f>+_xll.BDP($B49,E$45)</f>
        <v>03/12/15</v>
      </c>
      <c r="F49" s="28" t="str">
        <f>+_xll.BDP($B49,F$45)</f>
        <v>03/12/25</v>
      </c>
      <c r="G49" s="29">
        <f>+_xll.BDP($B49,G$45)/1000</f>
        <v>250000</v>
      </c>
      <c r="H49" s="27">
        <f>+_xll.BDP($B49,H$45)/100</f>
        <v>0.98292000000000002</v>
      </c>
      <c r="I49" s="27">
        <f>+_xll.BDP($B49,I$45)/100</f>
        <v>5.7709484100341796E-2</v>
      </c>
      <c r="R49">
        <f t="shared" si="4"/>
        <v>2004</v>
      </c>
      <c r="S49" s="10">
        <v>38296</v>
      </c>
      <c r="T49" s="2">
        <v>4.32</v>
      </c>
      <c r="U49" s="13">
        <v>38296</v>
      </c>
      <c r="V49" s="1">
        <v>11793.87</v>
      </c>
      <c r="X49" s="7">
        <f t="shared" si="0"/>
        <v>38296</v>
      </c>
      <c r="Y49" s="11">
        <f t="shared" si="1"/>
        <v>127.05882352941171</v>
      </c>
      <c r="Z49" s="11">
        <f t="shared" si="2"/>
        <v>133.74479343266586</v>
      </c>
    </row>
    <row r="50" spans="2:26">
      <c r="B50" s="26" t="s">
        <v>424</v>
      </c>
      <c r="C50" s="27">
        <f>+_xll.BDP($B50,C$45)/100</f>
        <v>2.4310000000000002E-2</v>
      </c>
      <c r="D50" s="27" t="str">
        <f>+_xll.BDP($B50,D$45)</f>
        <v>USD</v>
      </c>
      <c r="E50" s="28" t="str">
        <f>+_xll.BDP($B50,E$45)</f>
        <v>07/01/20</v>
      </c>
      <c r="F50" s="28" t="str">
        <f>+_xll.BDP($B50,F$45)</f>
        <v>07/01/31</v>
      </c>
      <c r="G50" s="29">
        <f>+_xll.BDP($B50,G$45)/1000</f>
        <v>500000</v>
      </c>
      <c r="H50" s="27">
        <f>+_xll.BDP($B50,H$45)/100</f>
        <v>0.8510899999999999</v>
      </c>
      <c r="I50" s="27">
        <f>+_xll.BDP($B50,I$45)/100</f>
        <v>5.2846240997314456E-2</v>
      </c>
      <c r="R50">
        <f t="shared" si="4"/>
        <v>2004</v>
      </c>
      <c r="S50" s="10">
        <v>38303</v>
      </c>
      <c r="T50" s="2">
        <v>4.4000000000000004</v>
      </c>
      <c r="U50" s="13">
        <v>38303</v>
      </c>
      <c r="V50" s="1">
        <v>11957.32</v>
      </c>
      <c r="X50" s="7">
        <f t="shared" si="0"/>
        <v>38303</v>
      </c>
      <c r="Y50" s="11">
        <f t="shared" si="1"/>
        <v>129.41176470588232</v>
      </c>
      <c r="Z50" s="11">
        <f t="shared" si="2"/>
        <v>135.59834841390349</v>
      </c>
    </row>
    <row r="51" spans="2:26">
      <c r="B51" s="26"/>
      <c r="C51" s="27"/>
      <c r="D51" s="27"/>
      <c r="E51" s="28"/>
      <c r="F51" s="28"/>
      <c r="G51" s="29"/>
      <c r="H51" s="27"/>
      <c r="I51" s="29"/>
      <c r="R51">
        <f t="shared" si="4"/>
        <v>2004</v>
      </c>
      <c r="S51" s="10">
        <v>38310</v>
      </c>
      <c r="T51" s="2">
        <v>4.37</v>
      </c>
      <c r="U51" s="13">
        <v>38310</v>
      </c>
      <c r="V51" s="1">
        <v>11839.21</v>
      </c>
      <c r="X51" s="7">
        <f t="shared" si="0"/>
        <v>38310</v>
      </c>
      <c r="Y51" s="11">
        <f t="shared" si="1"/>
        <v>128.52941176470586</v>
      </c>
      <c r="Z51" s="11">
        <f t="shared" si="2"/>
        <v>134.25895790405963</v>
      </c>
    </row>
    <row r="52" spans="2:26">
      <c r="B52" s="26"/>
      <c r="C52" s="27"/>
      <c r="D52" s="27"/>
      <c r="E52" s="28"/>
      <c r="I52" s="29"/>
      <c r="R52">
        <f t="shared" si="4"/>
        <v>2004</v>
      </c>
      <c r="S52" s="10">
        <v>38317</v>
      </c>
      <c r="T52" s="2">
        <v>4.55</v>
      </c>
      <c r="U52" s="13">
        <v>38317</v>
      </c>
      <c r="V52" s="1">
        <v>12076.08</v>
      </c>
      <c r="X52" s="7">
        <f t="shared" si="0"/>
        <v>38317</v>
      </c>
      <c r="Y52" s="11">
        <f t="shared" si="1"/>
        <v>133.82352941176467</v>
      </c>
      <c r="Z52" s="11">
        <f t="shared" si="2"/>
        <v>136.94511005092878</v>
      </c>
    </row>
    <row r="53" spans="2:26">
      <c r="B53" s="26"/>
      <c r="C53" s="27"/>
      <c r="D53" s="27"/>
      <c r="E53" s="28"/>
      <c r="F53" s="28" t="s">
        <v>425</v>
      </c>
      <c r="G53" s="29">
        <f>+G46+G47</f>
        <v>0</v>
      </c>
      <c r="H53" s="27"/>
      <c r="I53" s="29"/>
      <c r="R53">
        <f t="shared" si="4"/>
        <v>2004</v>
      </c>
      <c r="S53" s="10">
        <v>38324</v>
      </c>
      <c r="T53" s="2">
        <v>4.67</v>
      </c>
      <c r="U53" s="13">
        <v>38324</v>
      </c>
      <c r="V53" s="1">
        <v>12109.47</v>
      </c>
      <c r="X53" s="7">
        <f t="shared" si="0"/>
        <v>38324</v>
      </c>
      <c r="Y53" s="11">
        <f t="shared" si="1"/>
        <v>137.35294117647058</v>
      </c>
      <c r="Z53" s="11">
        <f t="shared" si="2"/>
        <v>137.32375918414093</v>
      </c>
    </row>
    <row r="54" spans="2:26">
      <c r="B54" s="26"/>
      <c r="C54" s="30"/>
      <c r="D54" s="30"/>
      <c r="E54" s="31"/>
      <c r="F54" s="28" t="s">
        <v>426</v>
      </c>
      <c r="G54" s="29">
        <f>+G48+G49+G50</f>
        <v>750000</v>
      </c>
      <c r="H54" s="27"/>
      <c r="I54" s="32"/>
      <c r="R54">
        <f t="shared" si="4"/>
        <v>2004</v>
      </c>
      <c r="S54" s="10">
        <v>38331</v>
      </c>
      <c r="T54" s="2">
        <v>4.57</v>
      </c>
      <c r="U54" s="13">
        <v>38331</v>
      </c>
      <c r="V54" s="1">
        <v>12260.86</v>
      </c>
      <c r="X54" s="7">
        <f t="shared" si="0"/>
        <v>38331</v>
      </c>
      <c r="Y54" s="11">
        <f t="shared" si="1"/>
        <v>134.41176470588235</v>
      </c>
      <c r="Z54" s="11">
        <f t="shared" si="2"/>
        <v>139.04055140567394</v>
      </c>
    </row>
    <row r="55" spans="2:26">
      <c r="R55">
        <f t="shared" si="4"/>
        <v>2004</v>
      </c>
      <c r="S55" s="10">
        <v>38338</v>
      </c>
      <c r="T55" s="2">
        <v>4.57</v>
      </c>
      <c r="U55" s="13">
        <v>38338</v>
      </c>
      <c r="V55" s="1">
        <v>12519.79</v>
      </c>
      <c r="X55" s="7">
        <f t="shared" si="0"/>
        <v>38338</v>
      </c>
      <c r="Y55" s="11">
        <f t="shared" si="1"/>
        <v>134.41176470588235</v>
      </c>
      <c r="Z55" s="11">
        <f t="shared" si="2"/>
        <v>141.97686826888511</v>
      </c>
    </row>
    <row r="56" spans="2:26">
      <c r="R56">
        <f t="shared" si="4"/>
        <v>2004</v>
      </c>
      <c r="S56" s="10">
        <v>38345</v>
      </c>
      <c r="T56" s="2">
        <v>4.7300000000000004</v>
      </c>
      <c r="U56" s="13">
        <v>38345</v>
      </c>
      <c r="V56" s="1">
        <v>12802.77</v>
      </c>
      <c r="X56" s="7">
        <f t="shared" si="0"/>
        <v>38345</v>
      </c>
      <c r="Y56" s="11">
        <f t="shared" si="1"/>
        <v>139.11764705882354</v>
      </c>
      <c r="Z56" s="11">
        <f t="shared" si="2"/>
        <v>145.18591683780909</v>
      </c>
    </row>
    <row r="57" spans="2:26">
      <c r="R57">
        <f t="shared" si="4"/>
        <v>2004</v>
      </c>
      <c r="S57" s="10">
        <v>38352</v>
      </c>
      <c r="T57" s="2">
        <v>4.82</v>
      </c>
      <c r="U57" s="13">
        <v>38352</v>
      </c>
      <c r="V57" s="1">
        <v>12917.88</v>
      </c>
      <c r="X57" s="7">
        <f t="shared" si="0"/>
        <v>38352</v>
      </c>
      <c r="Y57" s="11">
        <f t="shared" si="1"/>
        <v>141.76470588235296</v>
      </c>
      <c r="Z57" s="11">
        <f t="shared" si="2"/>
        <v>146.49128676066172</v>
      </c>
    </row>
    <row r="58" spans="2:26">
      <c r="R58">
        <f t="shared" si="4"/>
        <v>2005</v>
      </c>
      <c r="S58" s="10">
        <v>38359</v>
      </c>
      <c r="T58" s="2">
        <v>4.5599999999999996</v>
      </c>
      <c r="U58" s="13">
        <v>38359</v>
      </c>
      <c r="V58" s="1">
        <v>12453.33</v>
      </c>
      <c r="X58" s="7">
        <f t="shared" si="0"/>
        <v>38359</v>
      </c>
      <c r="Y58" s="11">
        <f t="shared" si="1"/>
        <v>134.11764705882354</v>
      </c>
      <c r="Z58" s="11">
        <f t="shared" si="2"/>
        <v>141.22319886507319</v>
      </c>
    </row>
    <row r="59" spans="2:26">
      <c r="R59">
        <f t="shared" si="4"/>
        <v>2005</v>
      </c>
      <c r="S59" s="10">
        <v>38366</v>
      </c>
      <c r="T59" s="2">
        <v>4.5599999999999996</v>
      </c>
      <c r="U59" s="13">
        <v>38366</v>
      </c>
      <c r="V59" s="1">
        <v>12694.74</v>
      </c>
      <c r="X59" s="7">
        <f t="shared" si="0"/>
        <v>38366</v>
      </c>
      <c r="Y59" s="11">
        <f t="shared" si="1"/>
        <v>134.11764705882354</v>
      </c>
      <c r="Z59" s="11">
        <f t="shared" si="2"/>
        <v>143.96083550025568</v>
      </c>
    </row>
    <row r="60" spans="2:26">
      <c r="R60">
        <f t="shared" si="4"/>
        <v>2005</v>
      </c>
      <c r="S60" s="10">
        <v>38373</v>
      </c>
      <c r="T60" s="2">
        <v>4.49</v>
      </c>
      <c r="U60" s="13">
        <v>38373</v>
      </c>
      <c r="V60" s="1">
        <v>12673.62</v>
      </c>
      <c r="X60" s="7">
        <f t="shared" si="0"/>
        <v>38373</v>
      </c>
      <c r="Y60" s="11">
        <f t="shared" si="1"/>
        <v>132.0588235294118</v>
      </c>
      <c r="Z60" s="11">
        <f t="shared" si="2"/>
        <v>143.72133056783758</v>
      </c>
    </row>
    <row r="61" spans="2:26">
      <c r="R61">
        <f t="shared" si="4"/>
        <v>2005</v>
      </c>
      <c r="S61" s="10">
        <v>38380</v>
      </c>
      <c r="T61" s="2">
        <v>4.54</v>
      </c>
      <c r="U61" s="13">
        <v>38380</v>
      </c>
      <c r="V61" s="1">
        <v>13040.53</v>
      </c>
      <c r="X61" s="7">
        <f t="shared" si="0"/>
        <v>38380</v>
      </c>
      <c r="Y61" s="11">
        <f t="shared" si="1"/>
        <v>133.52941176470591</v>
      </c>
      <c r="Z61" s="11">
        <f t="shared" si="2"/>
        <v>147.88216175881894</v>
      </c>
    </row>
    <row r="62" spans="2:26">
      <c r="R62">
        <f t="shared" si="4"/>
        <v>2005</v>
      </c>
      <c r="S62" s="10">
        <v>38387</v>
      </c>
      <c r="T62" s="2">
        <v>4.54</v>
      </c>
      <c r="U62" s="13">
        <v>38387</v>
      </c>
      <c r="V62" s="1">
        <v>13446.95</v>
      </c>
      <c r="X62" s="7">
        <f t="shared" si="0"/>
        <v>38387</v>
      </c>
      <c r="Y62" s="11">
        <f t="shared" si="1"/>
        <v>133.52941176470591</v>
      </c>
      <c r="Z62" s="11">
        <f t="shared" si="2"/>
        <v>152.49104408047452</v>
      </c>
    </row>
    <row r="63" spans="2:26">
      <c r="R63">
        <f t="shared" si="4"/>
        <v>2005</v>
      </c>
      <c r="S63" s="10">
        <v>38394</v>
      </c>
      <c r="T63" s="2">
        <v>4.67</v>
      </c>
      <c r="U63" s="13">
        <v>38394</v>
      </c>
      <c r="V63" s="1">
        <v>13714.63</v>
      </c>
      <c r="X63" s="7">
        <f t="shared" si="0"/>
        <v>38394</v>
      </c>
      <c r="Y63" s="11">
        <f t="shared" si="1"/>
        <v>137.35294117647061</v>
      </c>
      <c r="Z63" s="11">
        <f t="shared" si="2"/>
        <v>155.52658765574336</v>
      </c>
    </row>
    <row r="64" spans="2:26">
      <c r="C64" s="99" t="s">
        <v>427</v>
      </c>
      <c r="R64">
        <f t="shared" si="4"/>
        <v>2005</v>
      </c>
      <c r="S64" s="10">
        <v>38401</v>
      </c>
      <c r="T64" s="2">
        <v>4.6399999999999997</v>
      </c>
      <c r="U64" s="13">
        <v>38401</v>
      </c>
      <c r="V64" s="1">
        <v>13580.26</v>
      </c>
      <c r="X64" s="7">
        <f t="shared" si="0"/>
        <v>38401</v>
      </c>
      <c r="Y64" s="11">
        <f t="shared" si="1"/>
        <v>136.47058823529414</v>
      </c>
      <c r="Z64" s="11">
        <f t="shared" si="2"/>
        <v>154.00280556440717</v>
      </c>
    </row>
    <row r="65" spans="2:26">
      <c r="C65" s="100">
        <v>2020</v>
      </c>
      <c r="R65">
        <f t="shared" si="4"/>
        <v>2005</v>
      </c>
      <c r="S65" s="10">
        <v>38408</v>
      </c>
      <c r="T65" s="2">
        <v>4.6500000000000004</v>
      </c>
      <c r="U65" s="13">
        <v>38408</v>
      </c>
      <c r="V65" s="1">
        <v>13870.2</v>
      </c>
      <c r="X65" s="7">
        <f t="shared" si="0"/>
        <v>38408</v>
      </c>
      <c r="Y65" s="11">
        <f t="shared" si="1"/>
        <v>136.76470588235298</v>
      </c>
      <c r="Z65" s="11">
        <f t="shared" si="2"/>
        <v>157.29078189515079</v>
      </c>
    </row>
    <row r="66" spans="2:26">
      <c r="B66" t="s">
        <v>428</v>
      </c>
      <c r="C66" s="105">
        <v>0.63</v>
      </c>
      <c r="R66">
        <f t="shared" si="4"/>
        <v>2005</v>
      </c>
      <c r="S66" s="10">
        <v>38415</v>
      </c>
      <c r="T66" s="2">
        <v>4.63</v>
      </c>
      <c r="U66" s="13">
        <v>38415</v>
      </c>
      <c r="V66" s="1">
        <v>13862.76</v>
      </c>
      <c r="X66" s="7">
        <f t="shared" si="0"/>
        <v>38415</v>
      </c>
      <c r="Y66" s="11">
        <f t="shared" si="1"/>
        <v>136.17647058823533</v>
      </c>
      <c r="Z66" s="11">
        <f t="shared" si="2"/>
        <v>157.20641083941257</v>
      </c>
    </row>
    <row r="67" spans="2:26">
      <c r="B67" t="s">
        <v>429</v>
      </c>
      <c r="C67" s="22">
        <f>+C68/C66</f>
        <v>1135166.6666666667</v>
      </c>
      <c r="E67" t="s">
        <v>430</v>
      </c>
      <c r="R67">
        <f t="shared" si="4"/>
        <v>2005</v>
      </c>
      <c r="S67" s="10">
        <v>38422</v>
      </c>
      <c r="T67" s="2">
        <v>4.49</v>
      </c>
      <c r="U67" s="13">
        <v>38422</v>
      </c>
      <c r="V67" s="1">
        <v>13532.35</v>
      </c>
      <c r="X67" s="7">
        <f t="shared" si="0"/>
        <v>38422</v>
      </c>
      <c r="Y67" s="11">
        <f t="shared" si="1"/>
        <v>132.0588235294118</v>
      </c>
      <c r="Z67" s="11">
        <f t="shared" si="2"/>
        <v>153.45949679015757</v>
      </c>
    </row>
    <row r="68" spans="2:26">
      <c r="B68" t="s">
        <v>431</v>
      </c>
      <c r="C68" s="105">
        <v>715155</v>
      </c>
      <c r="R68">
        <f t="shared" si="4"/>
        <v>2005</v>
      </c>
      <c r="S68" s="10">
        <v>38429</v>
      </c>
      <c r="T68" s="2">
        <v>4.38</v>
      </c>
      <c r="U68" s="13">
        <v>38429</v>
      </c>
      <c r="V68" s="1">
        <v>13094.4</v>
      </c>
      <c r="X68" s="7">
        <f t="shared" si="0"/>
        <v>38429</v>
      </c>
      <c r="Y68" s="11">
        <f t="shared" si="1"/>
        <v>128.82352941176472</v>
      </c>
      <c r="Z68" s="11">
        <f t="shared" si="2"/>
        <v>148.49305809922438</v>
      </c>
    </row>
    <row r="69" spans="2:26">
      <c r="B69" t="s">
        <v>432</v>
      </c>
      <c r="C69" s="101">
        <f>+PROJ!BT3</f>
        <v>46702.895000000004</v>
      </c>
      <c r="R69">
        <f t="shared" si="4"/>
        <v>2005</v>
      </c>
      <c r="S69" s="10">
        <v>38436</v>
      </c>
      <c r="T69" s="2">
        <v>4.18</v>
      </c>
      <c r="U69" s="13">
        <v>38436</v>
      </c>
      <c r="V69" s="1">
        <v>12852.81</v>
      </c>
      <c r="X69" s="7">
        <f t="shared" ref="X69:X132" si="5">+S69</f>
        <v>38436</v>
      </c>
      <c r="Y69" s="11">
        <f t="shared" si="1"/>
        <v>122.94117647058825</v>
      </c>
      <c r="Z69" s="11">
        <f t="shared" si="2"/>
        <v>145.75338022882241</v>
      </c>
    </row>
    <row r="70" spans="2:26">
      <c r="B70" t="s">
        <v>433</v>
      </c>
      <c r="C70">
        <f>+FAT!BT3</f>
        <v>19.420400000000001</v>
      </c>
      <c r="R70">
        <f t="shared" si="4"/>
        <v>2005</v>
      </c>
      <c r="S70" s="10">
        <v>38443</v>
      </c>
      <c r="T70" s="2">
        <v>4.21</v>
      </c>
      <c r="U70" s="13">
        <v>38443</v>
      </c>
      <c r="V70" s="1">
        <v>12714.19</v>
      </c>
      <c r="X70" s="7">
        <f t="shared" si="5"/>
        <v>38443</v>
      </c>
      <c r="Y70" s="11">
        <f t="shared" ref="Y70:Y133" si="6">+Y69*(T70/T69)</f>
        <v>123.82352941176471</v>
      </c>
      <c r="Z70" s="11">
        <f t="shared" ref="Z70:Z133" si="7">+Z69*(V70/V69)</f>
        <v>144.18140230591533</v>
      </c>
    </row>
    <row r="71" spans="2:26">
      <c r="B71" t="s">
        <v>434</v>
      </c>
      <c r="C71">
        <f>+C69/C70</f>
        <v>2404.8369240592369</v>
      </c>
      <c r="R71">
        <f t="shared" ref="R71:R134" si="8">+YEAR(S71)</f>
        <v>2005</v>
      </c>
      <c r="S71" s="10">
        <v>38450</v>
      </c>
      <c r="T71" s="2">
        <v>4.26</v>
      </c>
      <c r="U71" s="13">
        <v>38450</v>
      </c>
      <c r="V71" s="1">
        <v>12531.63</v>
      </c>
      <c r="X71" s="7">
        <f t="shared" si="5"/>
        <v>38450</v>
      </c>
      <c r="Y71" s="11">
        <f t="shared" si="6"/>
        <v>125.29411764705883</v>
      </c>
      <c r="Z71" s="11">
        <f t="shared" si="7"/>
        <v>142.11113618554367</v>
      </c>
    </row>
    <row r="72" spans="2:26">
      <c r="B72" t="s">
        <v>435</v>
      </c>
      <c r="C72" s="102">
        <f>+C68/C71</f>
        <v>297.38191095005993</v>
      </c>
      <c r="D72" s="101"/>
      <c r="R72">
        <f t="shared" si="8"/>
        <v>2005</v>
      </c>
      <c r="S72" s="10">
        <v>38457</v>
      </c>
      <c r="T72" s="2">
        <v>4.16</v>
      </c>
      <c r="U72" s="13">
        <v>38457</v>
      </c>
      <c r="V72" s="1">
        <v>11942.7</v>
      </c>
      <c r="X72" s="7">
        <f t="shared" si="5"/>
        <v>38457</v>
      </c>
      <c r="Y72" s="11">
        <f t="shared" si="6"/>
        <v>122.35294117647061</v>
      </c>
      <c r="Z72" s="11">
        <f t="shared" si="7"/>
        <v>135.43255475329966</v>
      </c>
    </row>
    <row r="73" spans="2:26">
      <c r="C73" s="100"/>
      <c r="R73">
        <f t="shared" si="8"/>
        <v>2005</v>
      </c>
      <c r="S73" s="10">
        <v>38464</v>
      </c>
      <c r="T73" s="2">
        <v>4.25</v>
      </c>
      <c r="U73" s="13">
        <v>38464</v>
      </c>
      <c r="V73" s="1">
        <v>11995.32</v>
      </c>
      <c r="X73" s="7">
        <f t="shared" si="5"/>
        <v>38464</v>
      </c>
      <c r="Y73" s="11">
        <f t="shared" si="6"/>
        <v>125.00000000000003</v>
      </c>
      <c r="Z73" s="11">
        <f t="shared" si="7"/>
        <v>136.02927584912544</v>
      </c>
    </row>
    <row r="74" spans="2:26">
      <c r="C74" s="100" t="s">
        <v>436</v>
      </c>
      <c r="R74">
        <f t="shared" si="8"/>
        <v>2005</v>
      </c>
      <c r="S74" s="10">
        <v>38471</v>
      </c>
      <c r="T74" s="2">
        <v>4</v>
      </c>
      <c r="U74" s="13">
        <v>38471</v>
      </c>
      <c r="V74" s="1">
        <v>12322.99</v>
      </c>
      <c r="X74" s="7">
        <f t="shared" si="5"/>
        <v>38471</v>
      </c>
      <c r="Y74" s="11">
        <f t="shared" si="6"/>
        <v>117.64705882352943</v>
      </c>
      <c r="Z74" s="11">
        <f t="shared" si="7"/>
        <v>139.7451177622618</v>
      </c>
    </row>
    <row r="75" spans="2:26">
      <c r="C75" s="100">
        <v>2020</v>
      </c>
      <c r="R75">
        <f t="shared" si="8"/>
        <v>2005</v>
      </c>
      <c r="S75" s="10">
        <v>38478</v>
      </c>
      <c r="T75" s="2">
        <v>4.42</v>
      </c>
      <c r="U75" s="13">
        <v>38478</v>
      </c>
      <c r="V75" s="1">
        <v>12615.83</v>
      </c>
      <c r="X75" s="7">
        <f t="shared" si="5"/>
        <v>38478</v>
      </c>
      <c r="Y75" s="11">
        <f t="shared" si="6"/>
        <v>130.00000000000003</v>
      </c>
      <c r="Z75" s="11">
        <f t="shared" si="7"/>
        <v>143.06598066043026</v>
      </c>
    </row>
    <row r="76" spans="2:26">
      <c r="C76" s="103"/>
      <c r="R76">
        <f t="shared" si="8"/>
        <v>2005</v>
      </c>
      <c r="S76" s="10">
        <v>38485</v>
      </c>
      <c r="T76" s="2">
        <v>4.0999999999999996</v>
      </c>
      <c r="U76" s="13">
        <v>38485</v>
      </c>
      <c r="V76" s="1">
        <v>12347.72</v>
      </c>
      <c r="X76" s="7">
        <f t="shared" si="5"/>
        <v>38485</v>
      </c>
      <c r="Y76" s="11">
        <f t="shared" si="6"/>
        <v>120.58823529411767</v>
      </c>
      <c r="Z76" s="11">
        <f t="shared" si="7"/>
        <v>140.02556080102599</v>
      </c>
    </row>
    <row r="77" spans="2:26">
      <c r="C77" s="103"/>
      <c r="R77">
        <f t="shared" si="8"/>
        <v>2005</v>
      </c>
      <c r="S77" s="10">
        <v>38492</v>
      </c>
      <c r="T77" s="2">
        <v>4.45</v>
      </c>
      <c r="U77" s="13">
        <v>38492</v>
      </c>
      <c r="V77" s="1">
        <v>12883.46</v>
      </c>
      <c r="X77" s="7">
        <f t="shared" si="5"/>
        <v>38492</v>
      </c>
      <c r="Y77" s="11">
        <f t="shared" si="6"/>
        <v>130.88235294117649</v>
      </c>
      <c r="Z77" s="11">
        <f t="shared" si="7"/>
        <v>146.10095722591589</v>
      </c>
    </row>
    <row r="78" spans="2:26">
      <c r="B78" t="s">
        <v>437</v>
      </c>
      <c r="C78" s="104"/>
      <c r="R78">
        <f t="shared" si="8"/>
        <v>2005</v>
      </c>
      <c r="S78" s="10">
        <v>38499</v>
      </c>
      <c r="T78" s="2">
        <v>4.41</v>
      </c>
      <c r="U78" s="13">
        <v>38499</v>
      </c>
      <c r="V78" s="1">
        <v>13131.39</v>
      </c>
      <c r="X78" s="7">
        <f t="shared" si="5"/>
        <v>38499</v>
      </c>
      <c r="Y78" s="11">
        <f t="shared" si="6"/>
        <v>129.70588235294119</v>
      </c>
      <c r="Z78" s="11">
        <f t="shared" si="7"/>
        <v>148.91253193682596</v>
      </c>
    </row>
    <row r="79" spans="2:26">
      <c r="B79" t="s">
        <v>438</v>
      </c>
      <c r="C79" s="103">
        <v>1445263</v>
      </c>
      <c r="R79">
        <f t="shared" si="8"/>
        <v>2005</v>
      </c>
      <c r="S79" s="10">
        <v>38506</v>
      </c>
      <c r="T79" s="2">
        <v>4.58</v>
      </c>
      <c r="U79" s="13">
        <v>38506</v>
      </c>
      <c r="V79" s="1">
        <v>13204.39</v>
      </c>
      <c r="X79" s="7">
        <f t="shared" si="5"/>
        <v>38506</v>
      </c>
      <c r="Y79" s="11">
        <f t="shared" si="6"/>
        <v>134.70588235294119</v>
      </c>
      <c r="Z79" s="11">
        <f t="shared" si="7"/>
        <v>149.7403662202787</v>
      </c>
    </row>
    <row r="80" spans="2:26">
      <c r="B80" t="s">
        <v>439</v>
      </c>
      <c r="C80" s="102">
        <f>+C79/C71</f>
        <v>600.981707134001</v>
      </c>
      <c r="D80" s="101">
        <f>22*0.277778*11360000/8502</f>
        <v>8165.405523406258</v>
      </c>
      <c r="R80">
        <f t="shared" si="8"/>
        <v>2005</v>
      </c>
      <c r="S80" s="10">
        <v>38513</v>
      </c>
      <c r="T80" s="2">
        <v>4.67</v>
      </c>
      <c r="U80" s="13">
        <v>38513</v>
      </c>
      <c r="V80" s="1">
        <v>13214.6</v>
      </c>
      <c r="X80" s="7">
        <f t="shared" si="5"/>
        <v>38513</v>
      </c>
      <c r="Y80" s="11">
        <f t="shared" si="6"/>
        <v>137.35294117647061</v>
      </c>
      <c r="Z80" s="11">
        <f t="shared" si="7"/>
        <v>149.85614961800547</v>
      </c>
    </row>
    <row r="81" spans="18:26">
      <c r="R81">
        <f t="shared" si="8"/>
        <v>2005</v>
      </c>
      <c r="S81" s="10">
        <v>38520</v>
      </c>
      <c r="T81" s="2">
        <v>4.7</v>
      </c>
      <c r="U81" s="13">
        <v>38520</v>
      </c>
      <c r="V81" s="1">
        <v>13645.96</v>
      </c>
      <c r="X81" s="7">
        <f t="shared" si="5"/>
        <v>38520</v>
      </c>
      <c r="Y81" s="11">
        <f t="shared" si="6"/>
        <v>138.23529411764707</v>
      </c>
      <c r="Z81" s="11">
        <f t="shared" si="7"/>
        <v>154.74785641951459</v>
      </c>
    </row>
    <row r="82" spans="18:26">
      <c r="R82">
        <f t="shared" si="8"/>
        <v>2005</v>
      </c>
      <c r="S82" s="10">
        <v>38527</v>
      </c>
      <c r="T82" s="2">
        <v>4.63</v>
      </c>
      <c r="U82" s="13">
        <v>38527</v>
      </c>
      <c r="V82" s="1">
        <v>13299.28</v>
      </c>
      <c r="X82" s="7">
        <f t="shared" si="5"/>
        <v>38527</v>
      </c>
      <c r="Y82" s="11">
        <f t="shared" si="6"/>
        <v>136.1764705882353</v>
      </c>
      <c r="Z82" s="11">
        <f t="shared" si="7"/>
        <v>150.81643738681061</v>
      </c>
    </row>
    <row r="83" spans="18:26">
      <c r="R83">
        <f t="shared" si="8"/>
        <v>2005</v>
      </c>
      <c r="S83" s="10">
        <v>38534</v>
      </c>
      <c r="T83" s="2">
        <v>4.72</v>
      </c>
      <c r="U83" s="13">
        <v>38534</v>
      </c>
      <c r="V83" s="1">
        <v>13509.13</v>
      </c>
      <c r="X83" s="7">
        <f t="shared" si="5"/>
        <v>38534</v>
      </c>
      <c r="Y83" s="11">
        <f t="shared" si="6"/>
        <v>138.82352941176472</v>
      </c>
      <c r="Z83" s="11">
        <f t="shared" si="7"/>
        <v>153.19617744684558</v>
      </c>
    </row>
    <row r="84" spans="18:26">
      <c r="R84">
        <f t="shared" si="8"/>
        <v>2005</v>
      </c>
      <c r="S84" s="10">
        <v>38541</v>
      </c>
      <c r="T84" s="2">
        <v>4.8600000000000003</v>
      </c>
      <c r="U84" s="13">
        <v>38541</v>
      </c>
      <c r="V84" s="1">
        <v>13871.26</v>
      </c>
      <c r="X84" s="7">
        <f t="shared" si="5"/>
        <v>38541</v>
      </c>
      <c r="Y84" s="11">
        <f t="shared" si="6"/>
        <v>142.94117647058826</v>
      </c>
      <c r="Z84" s="11">
        <f t="shared" si="7"/>
        <v>157.3028025025543</v>
      </c>
    </row>
    <row r="85" spans="18:26">
      <c r="R85">
        <f t="shared" si="8"/>
        <v>2005</v>
      </c>
      <c r="S85" s="10">
        <v>38548</v>
      </c>
      <c r="T85" s="2">
        <v>4.88</v>
      </c>
      <c r="U85" s="13">
        <v>38548</v>
      </c>
      <c r="V85" s="1">
        <v>13952.6</v>
      </c>
      <c r="X85" s="7">
        <f t="shared" si="5"/>
        <v>38548</v>
      </c>
      <c r="Y85" s="11">
        <f t="shared" si="6"/>
        <v>143.52941176470588</v>
      </c>
      <c r="Z85" s="11">
        <f t="shared" si="7"/>
        <v>158.2252140178426</v>
      </c>
    </row>
    <row r="86" spans="18:26">
      <c r="R86">
        <f t="shared" si="8"/>
        <v>2005</v>
      </c>
      <c r="S86" s="10">
        <v>38555</v>
      </c>
      <c r="T86" s="2">
        <v>4.87</v>
      </c>
      <c r="U86" s="13">
        <v>38555</v>
      </c>
      <c r="V86" s="1">
        <v>14318.47</v>
      </c>
      <c r="X86" s="7">
        <f t="shared" si="5"/>
        <v>38555</v>
      </c>
      <c r="Y86" s="11">
        <f t="shared" si="6"/>
        <v>143.23529411764707</v>
      </c>
      <c r="Z86" s="11">
        <f t="shared" si="7"/>
        <v>162.37425140533367</v>
      </c>
    </row>
    <row r="87" spans="18:26">
      <c r="R87">
        <f t="shared" si="8"/>
        <v>2005</v>
      </c>
      <c r="S87" s="10">
        <v>38562</v>
      </c>
      <c r="T87" s="2">
        <v>4.95</v>
      </c>
      <c r="U87" s="13">
        <v>38562</v>
      </c>
      <c r="V87" s="1">
        <v>14409.66</v>
      </c>
      <c r="X87" s="7">
        <f t="shared" si="5"/>
        <v>38562</v>
      </c>
      <c r="Y87" s="11">
        <f t="shared" si="6"/>
        <v>145.58823529411765</v>
      </c>
      <c r="Z87" s="11">
        <f t="shared" si="7"/>
        <v>163.40836384790975</v>
      </c>
    </row>
    <row r="88" spans="18:26">
      <c r="R88">
        <f t="shared" si="8"/>
        <v>2005</v>
      </c>
      <c r="S88" s="10">
        <v>38569</v>
      </c>
      <c r="T88" s="2">
        <v>5</v>
      </c>
      <c r="U88" s="13">
        <v>38569</v>
      </c>
      <c r="V88" s="1">
        <v>14463.14</v>
      </c>
      <c r="X88" s="7">
        <f t="shared" si="5"/>
        <v>38569</v>
      </c>
      <c r="Y88" s="11">
        <f t="shared" si="6"/>
        <v>147.05882352941177</v>
      </c>
      <c r="Z88" s="11">
        <f t="shared" si="7"/>
        <v>164.01483751200635</v>
      </c>
    </row>
    <row r="89" spans="18:26">
      <c r="R89">
        <f t="shared" si="8"/>
        <v>2005</v>
      </c>
      <c r="S89" s="10">
        <v>38576</v>
      </c>
      <c r="T89" s="2">
        <v>5.0199999999999996</v>
      </c>
      <c r="U89" s="13">
        <v>38576</v>
      </c>
      <c r="V89" s="1">
        <v>14673.22</v>
      </c>
      <c r="X89" s="7">
        <f t="shared" si="5"/>
        <v>38576</v>
      </c>
      <c r="Y89" s="11">
        <f t="shared" si="6"/>
        <v>147.64705882352942</v>
      </c>
      <c r="Z89" s="11">
        <f t="shared" si="7"/>
        <v>166.397185817044</v>
      </c>
    </row>
    <row r="90" spans="18:26">
      <c r="R90">
        <f t="shared" si="8"/>
        <v>2005</v>
      </c>
      <c r="S90" s="10">
        <v>38583</v>
      </c>
      <c r="T90" s="2">
        <v>4.7699999999999996</v>
      </c>
      <c r="U90" s="13">
        <v>38583</v>
      </c>
      <c r="V90" s="1">
        <v>14678.16</v>
      </c>
      <c r="X90" s="7">
        <f t="shared" si="5"/>
        <v>38583</v>
      </c>
      <c r="Y90" s="11">
        <f t="shared" si="6"/>
        <v>140.29411764705884</v>
      </c>
      <c r="Z90" s="11">
        <f t="shared" si="7"/>
        <v>166.45320638362287</v>
      </c>
    </row>
    <row r="91" spans="18:26">
      <c r="R91">
        <f t="shared" si="8"/>
        <v>2005</v>
      </c>
      <c r="S91" s="10">
        <v>38590</v>
      </c>
      <c r="T91" s="2">
        <v>4.5999999999999996</v>
      </c>
      <c r="U91" s="13">
        <v>38590</v>
      </c>
      <c r="V91" s="1">
        <v>14444.84</v>
      </c>
      <c r="X91" s="7">
        <f t="shared" si="5"/>
        <v>38590</v>
      </c>
      <c r="Y91" s="11">
        <f t="shared" si="6"/>
        <v>135.29411764705884</v>
      </c>
      <c r="Z91" s="11">
        <f t="shared" si="7"/>
        <v>163.80731193136</v>
      </c>
    </row>
    <row r="92" spans="18:26">
      <c r="R92">
        <f t="shared" si="8"/>
        <v>2005</v>
      </c>
      <c r="S92" s="10">
        <v>38597</v>
      </c>
      <c r="T92" s="2">
        <v>4.59</v>
      </c>
      <c r="U92" s="13">
        <v>38597</v>
      </c>
      <c r="V92" s="1">
        <v>14772.7</v>
      </c>
      <c r="X92" s="7">
        <f t="shared" si="5"/>
        <v>38597</v>
      </c>
      <c r="Y92" s="11">
        <f t="shared" si="6"/>
        <v>135.00000000000003</v>
      </c>
      <c r="Z92" s="11">
        <f t="shared" si="7"/>
        <v>167.52530848167248</v>
      </c>
    </row>
    <row r="93" spans="18:26">
      <c r="R93">
        <f t="shared" si="8"/>
        <v>2005</v>
      </c>
      <c r="S93" s="10">
        <v>38604</v>
      </c>
      <c r="T93" s="2">
        <v>4.71</v>
      </c>
      <c r="U93" s="13">
        <v>38604</v>
      </c>
      <c r="V93" s="1">
        <v>15212.88</v>
      </c>
      <c r="X93" s="7">
        <f t="shared" si="5"/>
        <v>38604</v>
      </c>
      <c r="Y93" s="11">
        <f t="shared" si="6"/>
        <v>138.52941176470594</v>
      </c>
      <c r="Z93" s="11">
        <f t="shared" si="7"/>
        <v>172.51703580893576</v>
      </c>
    </row>
    <row r="94" spans="18:26">
      <c r="R94">
        <f t="shared" si="8"/>
        <v>2005</v>
      </c>
      <c r="S94" s="10">
        <v>38611</v>
      </c>
      <c r="T94" s="2">
        <v>4.91</v>
      </c>
      <c r="U94" s="13">
        <v>38611</v>
      </c>
      <c r="V94" s="1">
        <v>15428.78</v>
      </c>
      <c r="X94" s="7">
        <f t="shared" si="5"/>
        <v>38611</v>
      </c>
      <c r="Y94" s="11">
        <f t="shared" si="6"/>
        <v>144.4117647058824</v>
      </c>
      <c r="Z94" s="11">
        <f t="shared" si="7"/>
        <v>174.9653840527364</v>
      </c>
    </row>
    <row r="95" spans="18:26">
      <c r="R95">
        <f t="shared" si="8"/>
        <v>2005</v>
      </c>
      <c r="S95" s="10">
        <v>38618</v>
      </c>
      <c r="T95" s="2">
        <v>5.25</v>
      </c>
      <c r="U95" s="13">
        <v>38618</v>
      </c>
      <c r="V95" s="1">
        <v>15649.33</v>
      </c>
      <c r="X95" s="7">
        <f t="shared" si="5"/>
        <v>38618</v>
      </c>
      <c r="Y95" s="11">
        <f t="shared" si="6"/>
        <v>154.4117647058824</v>
      </c>
      <c r="Z95" s="11">
        <f t="shared" si="7"/>
        <v>177.46646420637336</v>
      </c>
    </row>
    <row r="96" spans="18:26">
      <c r="R96">
        <f t="shared" si="8"/>
        <v>2005</v>
      </c>
      <c r="S96" s="10">
        <v>38625</v>
      </c>
      <c r="T96" s="2">
        <v>5.24</v>
      </c>
      <c r="U96" s="13">
        <v>38625</v>
      </c>
      <c r="V96" s="1">
        <v>16120.08</v>
      </c>
      <c r="X96" s="7">
        <f t="shared" si="5"/>
        <v>38625</v>
      </c>
      <c r="Y96" s="11">
        <f t="shared" si="6"/>
        <v>154.11764705882359</v>
      </c>
      <c r="Z96" s="11">
        <f t="shared" si="7"/>
        <v>182.80486131507709</v>
      </c>
    </row>
    <row r="97" spans="18:26">
      <c r="R97">
        <f t="shared" si="8"/>
        <v>2005</v>
      </c>
      <c r="S97" s="10">
        <v>38632</v>
      </c>
      <c r="T97" s="2">
        <v>5.13</v>
      </c>
      <c r="U97" s="13">
        <v>38632</v>
      </c>
      <c r="V97" s="1">
        <v>15447.59</v>
      </c>
      <c r="X97" s="7">
        <f t="shared" si="5"/>
        <v>38632</v>
      </c>
      <c r="Y97" s="11">
        <f t="shared" si="6"/>
        <v>150.88235294117652</v>
      </c>
      <c r="Z97" s="11">
        <f t="shared" si="7"/>
        <v>175.17869313317129</v>
      </c>
    </row>
    <row r="98" spans="18:26">
      <c r="R98">
        <f t="shared" si="8"/>
        <v>2005</v>
      </c>
      <c r="S98" s="10">
        <v>38639</v>
      </c>
      <c r="T98" s="2">
        <v>4.79</v>
      </c>
      <c r="U98" s="13">
        <v>38639</v>
      </c>
      <c r="V98" s="1">
        <v>14892.88</v>
      </c>
      <c r="X98" s="7">
        <f t="shared" si="5"/>
        <v>38639</v>
      </c>
      <c r="Y98" s="11">
        <f t="shared" si="6"/>
        <v>140.88235294117652</v>
      </c>
      <c r="Z98" s="11">
        <f t="shared" si="7"/>
        <v>168.88817319654029</v>
      </c>
    </row>
    <row r="99" spans="18:26">
      <c r="R99">
        <f t="shared" si="8"/>
        <v>2005</v>
      </c>
      <c r="S99" s="10">
        <v>38646</v>
      </c>
      <c r="T99" s="2">
        <v>4.58</v>
      </c>
      <c r="U99" s="13">
        <v>38646</v>
      </c>
      <c r="V99" s="1">
        <v>14903.36</v>
      </c>
      <c r="X99" s="7">
        <f t="shared" si="5"/>
        <v>38646</v>
      </c>
      <c r="Y99" s="11">
        <f t="shared" si="6"/>
        <v>134.70588235294122</v>
      </c>
      <c r="Z99" s="11">
        <f t="shared" si="7"/>
        <v>169.00701844709624</v>
      </c>
    </row>
    <row r="100" spans="18:26">
      <c r="R100">
        <f t="shared" si="8"/>
        <v>2005</v>
      </c>
      <c r="S100" s="10">
        <v>38653</v>
      </c>
      <c r="T100" s="2">
        <v>4.5</v>
      </c>
      <c r="U100" s="13">
        <v>38653</v>
      </c>
      <c r="V100" s="1">
        <v>15579.68</v>
      </c>
      <c r="X100" s="7">
        <f t="shared" si="5"/>
        <v>38653</v>
      </c>
      <c r="Y100" s="11">
        <f t="shared" si="6"/>
        <v>132.35294117647061</v>
      </c>
      <c r="Z100" s="11">
        <f t="shared" si="7"/>
        <v>176.67661957839414</v>
      </c>
    </row>
    <row r="101" spans="18:26">
      <c r="R101">
        <f t="shared" si="8"/>
        <v>2005</v>
      </c>
      <c r="S101" s="10">
        <v>38660</v>
      </c>
      <c r="T101" s="2">
        <v>4.7</v>
      </c>
      <c r="U101" s="13">
        <v>38660</v>
      </c>
      <c r="V101" s="1">
        <v>15900.53</v>
      </c>
      <c r="X101" s="7">
        <f t="shared" si="5"/>
        <v>38660</v>
      </c>
      <c r="Y101" s="11">
        <f t="shared" si="6"/>
        <v>138.2352941176471</v>
      </c>
      <c r="Z101" s="11">
        <f t="shared" si="7"/>
        <v>180.31512135710386</v>
      </c>
    </row>
    <row r="102" spans="18:26">
      <c r="R102">
        <f t="shared" si="8"/>
        <v>2005</v>
      </c>
      <c r="S102" s="10">
        <v>38667</v>
      </c>
      <c r="T102" s="2">
        <v>4.84</v>
      </c>
      <c r="U102" s="13">
        <v>38667</v>
      </c>
      <c r="V102" s="1">
        <v>16137.07</v>
      </c>
      <c r="X102" s="7">
        <f t="shared" si="5"/>
        <v>38667</v>
      </c>
      <c r="Y102" s="11">
        <f t="shared" si="6"/>
        <v>142.35294117647061</v>
      </c>
      <c r="Z102" s="11">
        <f t="shared" si="7"/>
        <v>182.99753123940394</v>
      </c>
    </row>
    <row r="103" spans="18:26">
      <c r="R103">
        <f t="shared" si="8"/>
        <v>2005</v>
      </c>
      <c r="S103" s="10">
        <v>38674</v>
      </c>
      <c r="T103" s="2">
        <v>4.91</v>
      </c>
      <c r="U103" s="13">
        <v>38674</v>
      </c>
      <c r="V103" s="1">
        <v>16545.439999999999</v>
      </c>
      <c r="X103" s="7">
        <f t="shared" si="5"/>
        <v>38674</v>
      </c>
      <c r="Y103" s="11">
        <f t="shared" si="6"/>
        <v>144.41176470588238</v>
      </c>
      <c r="Z103" s="11">
        <f t="shared" si="7"/>
        <v>187.6285269426038</v>
      </c>
    </row>
    <row r="104" spans="18:26">
      <c r="R104">
        <f t="shared" si="8"/>
        <v>2005</v>
      </c>
      <c r="S104" s="10">
        <v>38681</v>
      </c>
      <c r="T104" s="2">
        <v>5.0199999999999996</v>
      </c>
      <c r="U104" s="13">
        <v>38681</v>
      </c>
      <c r="V104" s="1">
        <v>16879.37</v>
      </c>
      <c r="X104" s="7">
        <f t="shared" si="5"/>
        <v>38681</v>
      </c>
      <c r="Y104" s="11">
        <f t="shared" si="6"/>
        <v>147.64705882352942</v>
      </c>
      <c r="Z104" s="11">
        <f t="shared" si="7"/>
        <v>191.41535848059516</v>
      </c>
    </row>
    <row r="105" spans="18:26">
      <c r="R105">
        <f t="shared" si="8"/>
        <v>2005</v>
      </c>
      <c r="S105" s="10">
        <v>38688</v>
      </c>
      <c r="T105" s="2">
        <v>5.1100000000000003</v>
      </c>
      <c r="U105" s="13">
        <v>38688</v>
      </c>
      <c r="V105" s="1">
        <v>17150.990000000002</v>
      </c>
      <c r="X105" s="7">
        <f t="shared" si="5"/>
        <v>38688</v>
      </c>
      <c r="Y105" s="11">
        <f t="shared" si="6"/>
        <v>150.29411764705887</v>
      </c>
      <c r="Z105" s="11">
        <f t="shared" si="7"/>
        <v>194.49558242677915</v>
      </c>
    </row>
    <row r="106" spans="18:26">
      <c r="R106">
        <f t="shared" si="8"/>
        <v>2005</v>
      </c>
      <c r="S106" s="10">
        <v>38695</v>
      </c>
      <c r="T106" s="2">
        <v>5.23</v>
      </c>
      <c r="U106" s="13">
        <v>38695</v>
      </c>
      <c r="V106" s="1">
        <v>17554.48</v>
      </c>
      <c r="X106" s="7">
        <f t="shared" si="5"/>
        <v>38695</v>
      </c>
      <c r="Y106" s="11">
        <f t="shared" si="6"/>
        <v>153.82352941176475</v>
      </c>
      <c r="Z106" s="11">
        <f t="shared" si="7"/>
        <v>199.07123797513995</v>
      </c>
    </row>
    <row r="107" spans="18:26">
      <c r="R107">
        <f t="shared" si="8"/>
        <v>2005</v>
      </c>
      <c r="S107" s="10">
        <v>38702</v>
      </c>
      <c r="T107" s="2">
        <v>5.26</v>
      </c>
      <c r="U107" s="13">
        <v>38702</v>
      </c>
      <c r="V107" s="1">
        <v>17737.59</v>
      </c>
      <c r="X107" s="7">
        <f t="shared" si="5"/>
        <v>38702</v>
      </c>
      <c r="Y107" s="11">
        <f t="shared" si="6"/>
        <v>154.70588235294122</v>
      </c>
      <c r="Z107" s="11">
        <f t="shared" si="7"/>
        <v>201.14774120312663</v>
      </c>
    </row>
    <row r="108" spans="18:26">
      <c r="R108">
        <f t="shared" si="8"/>
        <v>2005</v>
      </c>
      <c r="S108" s="10">
        <v>38709</v>
      </c>
      <c r="T108" s="2">
        <v>5.03</v>
      </c>
      <c r="U108" s="13">
        <v>38709</v>
      </c>
      <c r="V108" s="1">
        <v>17802.28</v>
      </c>
      <c r="X108" s="7">
        <f t="shared" si="5"/>
        <v>38709</v>
      </c>
      <c r="Y108" s="11">
        <f t="shared" si="6"/>
        <v>147.94117647058829</v>
      </c>
      <c r="Z108" s="11">
        <f t="shared" si="7"/>
        <v>201.88133846061368</v>
      </c>
    </row>
    <row r="109" spans="18:26">
      <c r="R109">
        <f t="shared" si="8"/>
        <v>2005</v>
      </c>
      <c r="S109" s="10">
        <v>38716</v>
      </c>
      <c r="T109" s="2">
        <v>5.03</v>
      </c>
      <c r="U109" s="13">
        <v>38716</v>
      </c>
      <c r="V109" s="1">
        <v>17802.71</v>
      </c>
      <c r="X109" s="7">
        <f t="shared" si="5"/>
        <v>38716</v>
      </c>
      <c r="Y109" s="11">
        <f t="shared" si="6"/>
        <v>147.94117647058829</v>
      </c>
      <c r="Z109" s="11">
        <f t="shared" si="7"/>
        <v>201.88621474474908</v>
      </c>
    </row>
    <row r="110" spans="18:26">
      <c r="R110">
        <f t="shared" si="8"/>
        <v>2006</v>
      </c>
      <c r="S110" s="10">
        <v>38723</v>
      </c>
      <c r="T110" s="2">
        <v>5.17</v>
      </c>
      <c r="U110" s="13">
        <v>38723</v>
      </c>
      <c r="V110" s="1">
        <v>18736.78</v>
      </c>
      <c r="X110" s="7">
        <f t="shared" si="5"/>
        <v>38723</v>
      </c>
      <c r="Y110" s="11">
        <f t="shared" si="6"/>
        <v>152.0588235294118</v>
      </c>
      <c r="Z110" s="11">
        <f t="shared" si="7"/>
        <v>212.47875130837497</v>
      </c>
    </row>
    <row r="111" spans="18:26">
      <c r="R111">
        <f t="shared" si="8"/>
        <v>2006</v>
      </c>
      <c r="S111" s="10">
        <v>38730</v>
      </c>
      <c r="T111" s="2">
        <v>5.2</v>
      </c>
      <c r="U111" s="13">
        <v>38730</v>
      </c>
      <c r="V111" s="1">
        <v>18889.2</v>
      </c>
      <c r="X111" s="7">
        <f t="shared" si="5"/>
        <v>38730</v>
      </c>
      <c r="Y111" s="11">
        <f t="shared" si="6"/>
        <v>152.94117647058826</v>
      </c>
      <c r="Z111" s="11">
        <f t="shared" si="7"/>
        <v>214.20722393144163</v>
      </c>
    </row>
    <row r="112" spans="18:26">
      <c r="R112">
        <f t="shared" si="8"/>
        <v>2006</v>
      </c>
      <c r="S112" s="10">
        <v>38737</v>
      </c>
      <c r="T112" s="2">
        <v>5.23</v>
      </c>
      <c r="U112" s="13">
        <v>38737</v>
      </c>
      <c r="V112" s="1">
        <v>18346.23</v>
      </c>
      <c r="X112" s="7">
        <f t="shared" si="5"/>
        <v>38737</v>
      </c>
      <c r="Y112" s="11">
        <f t="shared" si="6"/>
        <v>153.82352941176472</v>
      </c>
      <c r="Z112" s="11">
        <f t="shared" si="7"/>
        <v>208.04983789190291</v>
      </c>
    </row>
    <row r="113" spans="18:26">
      <c r="R113">
        <f t="shared" si="8"/>
        <v>2006</v>
      </c>
      <c r="S113" s="10">
        <v>38744</v>
      </c>
      <c r="T113" s="2">
        <v>5.0599999999999996</v>
      </c>
      <c r="U113" s="13">
        <v>38744</v>
      </c>
      <c r="V113" s="1">
        <v>18956.5</v>
      </c>
      <c r="X113" s="7">
        <f t="shared" si="5"/>
        <v>38744</v>
      </c>
      <c r="Y113" s="11">
        <f t="shared" si="6"/>
        <v>148.8235294117647</v>
      </c>
      <c r="Z113" s="11">
        <f t="shared" si="7"/>
        <v>214.97041909961106</v>
      </c>
    </row>
    <row r="114" spans="18:26">
      <c r="R114">
        <f t="shared" si="8"/>
        <v>2006</v>
      </c>
      <c r="S114" s="10">
        <v>38751</v>
      </c>
      <c r="T114" s="2">
        <v>5.09</v>
      </c>
      <c r="U114" s="13">
        <v>38751</v>
      </c>
      <c r="V114" s="1">
        <v>18862.18</v>
      </c>
      <c r="X114" s="7">
        <f t="shared" si="5"/>
        <v>38751</v>
      </c>
      <c r="Y114" s="11">
        <f t="shared" si="6"/>
        <v>149.70588235294116</v>
      </c>
      <c r="Z114" s="11">
        <f t="shared" si="7"/>
        <v>213.90081184460749</v>
      </c>
    </row>
    <row r="115" spans="18:26">
      <c r="R115">
        <f t="shared" si="8"/>
        <v>2006</v>
      </c>
      <c r="S115" s="10">
        <v>38758</v>
      </c>
      <c r="T115" s="2">
        <v>4.91</v>
      </c>
      <c r="U115" s="13">
        <v>38758</v>
      </c>
      <c r="V115" s="1">
        <v>18298.580000000002</v>
      </c>
      <c r="X115" s="7">
        <f t="shared" si="5"/>
        <v>38758</v>
      </c>
      <c r="Y115" s="11">
        <f t="shared" si="6"/>
        <v>144.41176470588235</v>
      </c>
      <c r="Z115" s="11">
        <f t="shared" si="7"/>
        <v>207.50947756852591</v>
      </c>
    </row>
    <row r="116" spans="18:26">
      <c r="R116">
        <f t="shared" si="8"/>
        <v>2006</v>
      </c>
      <c r="S116" s="10">
        <v>38765</v>
      </c>
      <c r="T116" s="2">
        <v>4.99</v>
      </c>
      <c r="U116" s="13">
        <v>38765</v>
      </c>
      <c r="V116" s="1">
        <v>18480.78</v>
      </c>
      <c r="X116" s="7">
        <f t="shared" si="5"/>
        <v>38765</v>
      </c>
      <c r="Y116" s="11">
        <f t="shared" si="6"/>
        <v>146.76470588235293</v>
      </c>
      <c r="Z116" s="11">
        <f t="shared" si="7"/>
        <v>209.57566121845855</v>
      </c>
    </row>
    <row r="117" spans="18:26">
      <c r="R117">
        <f t="shared" si="8"/>
        <v>2006</v>
      </c>
      <c r="S117" s="10">
        <v>38772</v>
      </c>
      <c r="T117" s="2">
        <v>4.7699999999999996</v>
      </c>
      <c r="U117" s="13">
        <v>38772</v>
      </c>
      <c r="V117" s="1">
        <v>19100.89</v>
      </c>
      <c r="X117" s="7">
        <f t="shared" si="5"/>
        <v>38772</v>
      </c>
      <c r="Y117" s="11">
        <f t="shared" si="6"/>
        <v>140.29411764705878</v>
      </c>
      <c r="Z117" s="11">
        <f t="shared" si="7"/>
        <v>216.60782995149788</v>
      </c>
    </row>
    <row r="118" spans="18:26">
      <c r="R118">
        <f t="shared" si="8"/>
        <v>2006</v>
      </c>
      <c r="S118" s="10">
        <v>38779</v>
      </c>
      <c r="T118" s="2">
        <v>4.9800000000000004</v>
      </c>
      <c r="U118" s="13">
        <v>38779</v>
      </c>
      <c r="V118" s="1">
        <v>19189.25</v>
      </c>
      <c r="X118" s="7">
        <f t="shared" si="5"/>
        <v>38779</v>
      </c>
      <c r="Y118" s="11">
        <f t="shared" si="6"/>
        <v>146.47058823529412</v>
      </c>
      <c r="Z118" s="11">
        <f t="shared" si="7"/>
        <v>217.60984964034557</v>
      </c>
    </row>
    <row r="119" spans="18:26">
      <c r="R119">
        <f t="shared" si="8"/>
        <v>2006</v>
      </c>
      <c r="S119" s="10">
        <v>38786</v>
      </c>
      <c r="T119" s="2">
        <v>4.63</v>
      </c>
      <c r="U119" s="13">
        <v>38786</v>
      </c>
      <c r="V119" s="1">
        <v>18420.169999999998</v>
      </c>
      <c r="X119" s="7">
        <f t="shared" si="5"/>
        <v>38786</v>
      </c>
      <c r="Y119" s="11">
        <f t="shared" si="6"/>
        <v>136.17647058823528</v>
      </c>
      <c r="Z119" s="11">
        <f t="shared" si="7"/>
        <v>208.8883319592795</v>
      </c>
    </row>
    <row r="120" spans="18:26">
      <c r="R120">
        <f t="shared" si="8"/>
        <v>2006</v>
      </c>
      <c r="S120" s="10">
        <v>38793</v>
      </c>
      <c r="T120" s="2">
        <v>4.75</v>
      </c>
      <c r="U120" s="13">
        <v>38793</v>
      </c>
      <c r="V120" s="1">
        <v>19344.05</v>
      </c>
      <c r="X120" s="7">
        <f t="shared" si="5"/>
        <v>38793</v>
      </c>
      <c r="Y120" s="11">
        <f t="shared" si="6"/>
        <v>139.70588235294116</v>
      </c>
      <c r="Z120" s="11">
        <f t="shared" si="7"/>
        <v>219.36531192909189</v>
      </c>
    </row>
    <row r="121" spans="18:26">
      <c r="R121">
        <f t="shared" si="8"/>
        <v>2006</v>
      </c>
      <c r="S121" s="10">
        <v>38800</v>
      </c>
      <c r="T121" s="2">
        <v>4.8</v>
      </c>
      <c r="U121" s="13">
        <v>38800</v>
      </c>
      <c r="V121" s="1">
        <v>19339.3</v>
      </c>
      <c r="X121" s="7">
        <f t="shared" si="5"/>
        <v>38800</v>
      </c>
      <c r="Y121" s="11">
        <f t="shared" si="6"/>
        <v>141.17647058823528</v>
      </c>
      <c r="Z121" s="11">
        <f t="shared" si="7"/>
        <v>219.31144599968914</v>
      </c>
    </row>
    <row r="122" spans="18:26">
      <c r="R122">
        <f t="shared" si="8"/>
        <v>2006</v>
      </c>
      <c r="S122" s="10">
        <v>38807</v>
      </c>
      <c r="T122" s="2">
        <v>4.93</v>
      </c>
      <c r="U122" s="13">
        <v>38807</v>
      </c>
      <c r="V122" s="1">
        <v>19272.63</v>
      </c>
      <c r="X122" s="7">
        <f t="shared" si="5"/>
        <v>38807</v>
      </c>
      <c r="Y122" s="11">
        <f t="shared" si="6"/>
        <v>144.99999999999997</v>
      </c>
      <c r="Z122" s="11">
        <f t="shared" si="7"/>
        <v>218.55539515478787</v>
      </c>
    </row>
    <row r="123" spans="18:26">
      <c r="R123">
        <f t="shared" si="8"/>
        <v>2006</v>
      </c>
      <c r="S123" s="10">
        <v>38814</v>
      </c>
      <c r="T123" s="2">
        <v>5.1100000000000003</v>
      </c>
      <c r="U123" s="13">
        <v>38814</v>
      </c>
      <c r="V123" s="1">
        <v>19472.36</v>
      </c>
      <c r="X123" s="7">
        <f t="shared" si="5"/>
        <v>38814</v>
      </c>
      <c r="Y123" s="11">
        <f t="shared" si="6"/>
        <v>150.29411764705881</v>
      </c>
      <c r="Z123" s="11">
        <f t="shared" si="7"/>
        <v>220.82037243470586</v>
      </c>
    </row>
    <row r="124" spans="18:26">
      <c r="R124">
        <f t="shared" si="8"/>
        <v>2006</v>
      </c>
      <c r="S124" s="10">
        <v>38821</v>
      </c>
      <c r="T124" s="2">
        <v>5.04</v>
      </c>
      <c r="U124" s="13">
        <v>38821</v>
      </c>
      <c r="V124" s="1">
        <v>19322.62</v>
      </c>
      <c r="X124" s="7">
        <f t="shared" si="5"/>
        <v>38821</v>
      </c>
      <c r="Y124" s="11">
        <f t="shared" si="6"/>
        <v>148.23529411764704</v>
      </c>
      <c r="Z124" s="11">
        <f t="shared" si="7"/>
        <v>219.12229153601803</v>
      </c>
    </row>
    <row r="125" spans="18:26">
      <c r="R125">
        <f t="shared" si="8"/>
        <v>2006</v>
      </c>
      <c r="S125" s="10">
        <v>38828</v>
      </c>
      <c r="T125" s="2">
        <v>5.27</v>
      </c>
      <c r="U125" s="13">
        <v>38828</v>
      </c>
      <c r="V125" s="1">
        <v>20174.64</v>
      </c>
      <c r="X125" s="7">
        <f t="shared" si="5"/>
        <v>38828</v>
      </c>
      <c r="Y125" s="11">
        <f t="shared" si="6"/>
        <v>154.99999999999997</v>
      </c>
      <c r="Z125" s="11">
        <f t="shared" si="7"/>
        <v>228.78436504543436</v>
      </c>
    </row>
    <row r="126" spans="18:26">
      <c r="R126">
        <f t="shared" si="8"/>
        <v>2006</v>
      </c>
      <c r="S126" s="10">
        <v>38835</v>
      </c>
      <c r="T126" s="2">
        <v>5.25</v>
      </c>
      <c r="U126" s="13">
        <v>38835</v>
      </c>
      <c r="V126" s="1">
        <v>20646.189999999999</v>
      </c>
      <c r="X126" s="7">
        <f t="shared" si="5"/>
        <v>38835</v>
      </c>
      <c r="Y126" s="11">
        <f t="shared" si="6"/>
        <v>154.41176470588235</v>
      </c>
      <c r="Z126" s="11">
        <f t="shared" si="7"/>
        <v>234.13183431066906</v>
      </c>
    </row>
    <row r="127" spans="18:26">
      <c r="R127">
        <f t="shared" si="8"/>
        <v>2006</v>
      </c>
      <c r="S127" s="10">
        <v>38842</v>
      </c>
      <c r="T127" s="2">
        <v>5.58</v>
      </c>
      <c r="U127" s="13">
        <v>38842</v>
      </c>
      <c r="V127" s="1">
        <v>21237.45</v>
      </c>
      <c r="X127" s="7">
        <f t="shared" si="5"/>
        <v>38842</v>
      </c>
      <c r="Y127" s="11">
        <f t="shared" si="6"/>
        <v>164.11764705882354</v>
      </c>
      <c r="Z127" s="11">
        <f t="shared" si="7"/>
        <v>240.83683839880959</v>
      </c>
    </row>
    <row r="128" spans="18:26">
      <c r="R128">
        <f t="shared" si="8"/>
        <v>2006</v>
      </c>
      <c r="S128" s="10">
        <v>38849</v>
      </c>
      <c r="T128" s="2">
        <v>5.32</v>
      </c>
      <c r="U128" s="13">
        <v>38849</v>
      </c>
      <c r="V128" s="1">
        <v>21154.9</v>
      </c>
      <c r="X128" s="7">
        <f t="shared" si="5"/>
        <v>38849</v>
      </c>
      <c r="Y128" s="11">
        <f t="shared" si="6"/>
        <v>156.47058823529412</v>
      </c>
      <c r="Z128" s="11">
        <f t="shared" si="7"/>
        <v>239.90070524676818</v>
      </c>
    </row>
    <row r="129" spans="18:26">
      <c r="R129">
        <f t="shared" si="8"/>
        <v>2006</v>
      </c>
      <c r="S129" s="10">
        <v>38856</v>
      </c>
      <c r="T129" s="2">
        <v>5.09</v>
      </c>
      <c r="U129" s="13">
        <v>38856</v>
      </c>
      <c r="V129" s="1">
        <v>20182.14</v>
      </c>
      <c r="X129" s="7">
        <f t="shared" si="5"/>
        <v>38856</v>
      </c>
      <c r="Y129" s="11">
        <f t="shared" si="6"/>
        <v>149.70588235294116</v>
      </c>
      <c r="Z129" s="11">
        <f t="shared" si="7"/>
        <v>228.86941651291235</v>
      </c>
    </row>
    <row r="130" spans="18:26">
      <c r="R130">
        <f t="shared" si="8"/>
        <v>2006</v>
      </c>
      <c r="S130" s="10">
        <v>38863</v>
      </c>
      <c r="T130" s="2">
        <v>5.36</v>
      </c>
      <c r="U130" s="13">
        <v>38863</v>
      </c>
      <c r="V130" s="1">
        <v>19585.21</v>
      </c>
      <c r="X130" s="7">
        <f t="shared" si="5"/>
        <v>38863</v>
      </c>
      <c r="Y130" s="11">
        <f t="shared" si="6"/>
        <v>157.64705882352939</v>
      </c>
      <c r="Z130" s="11">
        <f t="shared" si="7"/>
        <v>222.10011351535843</v>
      </c>
    </row>
    <row r="131" spans="18:26">
      <c r="R131">
        <f t="shared" si="8"/>
        <v>2006</v>
      </c>
      <c r="S131" s="10">
        <v>38870</v>
      </c>
      <c r="T131" s="2">
        <v>5.0999999999999996</v>
      </c>
      <c r="U131" s="13">
        <v>38870</v>
      </c>
      <c r="V131" s="1">
        <v>19421.73</v>
      </c>
      <c r="X131" s="7">
        <f t="shared" si="5"/>
        <v>38870</v>
      </c>
      <c r="Y131" s="11">
        <f t="shared" si="6"/>
        <v>149.99999999999997</v>
      </c>
      <c r="Z131" s="11">
        <f t="shared" si="7"/>
        <v>220.24621832825088</v>
      </c>
    </row>
    <row r="132" spans="18:26">
      <c r="R132">
        <f t="shared" si="8"/>
        <v>2006</v>
      </c>
      <c r="S132" s="10">
        <v>38877</v>
      </c>
      <c r="T132" s="2">
        <v>4.9000000000000004</v>
      </c>
      <c r="U132" s="13">
        <v>38877</v>
      </c>
      <c r="V132" s="1">
        <v>17748.740000000002</v>
      </c>
      <c r="X132" s="7">
        <f t="shared" si="5"/>
        <v>38877</v>
      </c>
      <c r="Y132" s="11">
        <f t="shared" si="6"/>
        <v>144.11764705882354</v>
      </c>
      <c r="Z132" s="11">
        <f t="shared" si="7"/>
        <v>201.27418438477724</v>
      </c>
    </row>
    <row r="133" spans="18:26">
      <c r="R133">
        <f t="shared" si="8"/>
        <v>2006</v>
      </c>
      <c r="S133" s="10">
        <v>38884</v>
      </c>
      <c r="T133" s="2">
        <v>4.92</v>
      </c>
      <c r="U133" s="13">
        <v>38884</v>
      </c>
      <c r="V133" s="1">
        <v>18041.79</v>
      </c>
      <c r="X133" s="7">
        <f t="shared" ref="X133:X196" si="9">+S133</f>
        <v>38884</v>
      </c>
      <c r="Y133" s="11">
        <f t="shared" si="6"/>
        <v>144.70588235294116</v>
      </c>
      <c r="Z133" s="11">
        <f t="shared" si="7"/>
        <v>204.59742872403507</v>
      </c>
    </row>
    <row r="134" spans="18:26">
      <c r="R134">
        <f t="shared" si="8"/>
        <v>2006</v>
      </c>
      <c r="S134" s="10">
        <v>38891</v>
      </c>
      <c r="T134" s="2">
        <v>4.8499999999999996</v>
      </c>
      <c r="U134" s="13">
        <v>38891</v>
      </c>
      <c r="V134" s="1">
        <v>18545.73</v>
      </c>
      <c r="X134" s="7">
        <f t="shared" si="9"/>
        <v>38891</v>
      </c>
      <c r="Y134" s="11">
        <f t="shared" ref="Y134:Y197" si="10">+Y133*(T134/T133)</f>
        <v>142.64705882352939</v>
      </c>
      <c r="Z134" s="11">
        <f t="shared" ref="Z134:Z197" si="11">+Z133*(V134/V133)</f>
        <v>210.31220692681816</v>
      </c>
    </row>
    <row r="135" spans="18:26">
      <c r="R135">
        <f t="shared" ref="R135:R198" si="12">+YEAR(S135)</f>
        <v>2006</v>
      </c>
      <c r="S135" s="10">
        <v>38898</v>
      </c>
      <c r="T135" s="2">
        <v>4.83</v>
      </c>
      <c r="U135" s="13">
        <v>38898</v>
      </c>
      <c r="V135" s="1">
        <v>19147.169999999998</v>
      </c>
      <c r="X135" s="7">
        <f t="shared" si="9"/>
        <v>38898</v>
      </c>
      <c r="Y135" s="11">
        <f t="shared" si="10"/>
        <v>142.05882352941177</v>
      </c>
      <c r="Z135" s="11">
        <f t="shared" si="11"/>
        <v>217.13265420681549</v>
      </c>
    </row>
    <row r="136" spans="18:26">
      <c r="R136">
        <f t="shared" si="12"/>
        <v>2006</v>
      </c>
      <c r="S136" s="10">
        <v>38905</v>
      </c>
      <c r="T136" s="2">
        <v>5.05</v>
      </c>
      <c r="U136" s="13">
        <v>38905</v>
      </c>
      <c r="V136" s="1">
        <v>19829.599999999999</v>
      </c>
      <c r="X136" s="7">
        <f t="shared" si="9"/>
        <v>38905</v>
      </c>
      <c r="Y136" s="11">
        <f t="shared" si="10"/>
        <v>148.52941176470588</v>
      </c>
      <c r="Z136" s="11">
        <f t="shared" si="11"/>
        <v>224.87154393361885</v>
      </c>
    </row>
    <row r="137" spans="18:26">
      <c r="R137">
        <f t="shared" si="12"/>
        <v>2006</v>
      </c>
      <c r="S137" s="10">
        <v>38912</v>
      </c>
      <c r="T137" s="2">
        <v>4.79</v>
      </c>
      <c r="U137" s="13">
        <v>38912</v>
      </c>
      <c r="V137" s="1">
        <v>18328.66</v>
      </c>
      <c r="X137" s="7">
        <f t="shared" si="9"/>
        <v>38912</v>
      </c>
      <c r="Y137" s="11">
        <f t="shared" si="10"/>
        <v>140.88235294117649</v>
      </c>
      <c r="Z137" s="11">
        <f t="shared" si="11"/>
        <v>207.85059065409098</v>
      </c>
    </row>
    <row r="138" spans="18:26">
      <c r="R138">
        <f t="shared" si="12"/>
        <v>2006</v>
      </c>
      <c r="S138" s="10">
        <v>38919</v>
      </c>
      <c r="T138" s="2">
        <v>4.97</v>
      </c>
      <c r="U138" s="13">
        <v>38919</v>
      </c>
      <c r="V138" s="1">
        <v>19527.37</v>
      </c>
      <c r="X138" s="7">
        <f t="shared" si="9"/>
        <v>38919</v>
      </c>
      <c r="Y138" s="11">
        <f t="shared" si="10"/>
        <v>146.1764705882353</v>
      </c>
      <c r="Z138" s="11">
        <f t="shared" si="11"/>
        <v>221.44419659816793</v>
      </c>
    </row>
    <row r="139" spans="18:26">
      <c r="R139">
        <f t="shared" si="12"/>
        <v>2006</v>
      </c>
      <c r="S139" s="10">
        <v>38926</v>
      </c>
      <c r="T139" s="2">
        <v>5.73</v>
      </c>
      <c r="U139" s="13">
        <v>38926</v>
      </c>
      <c r="V139" s="1">
        <v>20252.330000000002</v>
      </c>
      <c r="X139" s="7">
        <f t="shared" si="9"/>
        <v>38926</v>
      </c>
      <c r="Y139" s="11">
        <f t="shared" si="10"/>
        <v>168.52941176470591</v>
      </c>
      <c r="Z139" s="11">
        <f t="shared" si="11"/>
        <v>229.66538484654998</v>
      </c>
    </row>
    <row r="140" spans="18:26">
      <c r="R140">
        <f t="shared" si="12"/>
        <v>2006</v>
      </c>
      <c r="S140" s="10">
        <v>38933</v>
      </c>
      <c r="T140" s="2">
        <v>5.73</v>
      </c>
      <c r="U140" s="13">
        <v>38933</v>
      </c>
      <c r="V140" s="1">
        <v>20354.990000000002</v>
      </c>
      <c r="X140" s="7">
        <f t="shared" si="9"/>
        <v>38933</v>
      </c>
      <c r="Y140" s="11">
        <f t="shared" si="10"/>
        <v>168.52941176470591</v>
      </c>
      <c r="Z140" s="11">
        <f t="shared" si="11"/>
        <v>230.82956933338912</v>
      </c>
    </row>
    <row r="141" spans="18:26">
      <c r="R141">
        <f t="shared" si="12"/>
        <v>2006</v>
      </c>
      <c r="S141" s="10">
        <v>38940</v>
      </c>
      <c r="T141" s="2">
        <v>5.61</v>
      </c>
      <c r="U141" s="13">
        <v>38940</v>
      </c>
      <c r="V141" s="1">
        <v>20273.86</v>
      </c>
      <c r="X141" s="7">
        <f t="shared" si="9"/>
        <v>38940</v>
      </c>
      <c r="Y141" s="11">
        <f t="shared" si="10"/>
        <v>165.00000000000003</v>
      </c>
      <c r="Z141" s="11">
        <f t="shared" si="11"/>
        <v>229.90953925919021</v>
      </c>
    </row>
    <row r="142" spans="18:26">
      <c r="R142">
        <f t="shared" si="12"/>
        <v>2006</v>
      </c>
      <c r="S142" s="10">
        <v>38947</v>
      </c>
      <c r="T142" s="2">
        <v>5.71</v>
      </c>
      <c r="U142" s="13">
        <v>38947</v>
      </c>
      <c r="V142" s="1">
        <v>21046.63</v>
      </c>
      <c r="X142" s="7">
        <f t="shared" si="9"/>
        <v>38947</v>
      </c>
      <c r="Y142" s="11">
        <f t="shared" si="10"/>
        <v>167.94117647058826</v>
      </c>
      <c r="Z142" s="11">
        <f t="shared" si="11"/>
        <v>238.67290226225543</v>
      </c>
    </row>
    <row r="143" spans="18:26">
      <c r="R143">
        <f t="shared" si="12"/>
        <v>2006</v>
      </c>
      <c r="S143" s="10">
        <v>38954</v>
      </c>
      <c r="T143" s="2">
        <v>5.61</v>
      </c>
      <c r="U143" s="13">
        <v>38954</v>
      </c>
      <c r="V143" s="1">
        <v>20994.94</v>
      </c>
      <c r="X143" s="7">
        <f t="shared" si="9"/>
        <v>38954</v>
      </c>
      <c r="Y143" s="11">
        <f t="shared" si="10"/>
        <v>165.00000000000003</v>
      </c>
      <c r="Z143" s="11">
        <f t="shared" si="11"/>
        <v>238.08672754839688</v>
      </c>
    </row>
    <row r="144" spans="18:26">
      <c r="R144">
        <f t="shared" si="12"/>
        <v>2006</v>
      </c>
      <c r="S144" s="10">
        <v>38961</v>
      </c>
      <c r="T144" s="2">
        <v>5.6</v>
      </c>
      <c r="U144" s="13">
        <v>38961</v>
      </c>
      <c r="V144" s="1">
        <v>21192.26</v>
      </c>
      <c r="X144" s="7">
        <f t="shared" si="9"/>
        <v>38961</v>
      </c>
      <c r="Y144" s="11">
        <f t="shared" si="10"/>
        <v>164.70588235294119</v>
      </c>
      <c r="Z144" s="11">
        <f t="shared" si="11"/>
        <v>240.32437495676524</v>
      </c>
    </row>
    <row r="145" spans="18:26">
      <c r="R145">
        <f t="shared" si="12"/>
        <v>2006</v>
      </c>
      <c r="S145" s="10">
        <v>38968</v>
      </c>
      <c r="T145" s="2">
        <v>5.67</v>
      </c>
      <c r="U145" s="13">
        <v>38968</v>
      </c>
      <c r="V145" s="1">
        <v>20795.82</v>
      </c>
      <c r="X145" s="7">
        <f t="shared" si="9"/>
        <v>38968</v>
      </c>
      <c r="Y145" s="11">
        <f t="shared" si="10"/>
        <v>166.76470588235296</v>
      </c>
      <c r="Z145" s="11">
        <f t="shared" si="11"/>
        <v>235.82866778783378</v>
      </c>
    </row>
    <row r="146" spans="18:26">
      <c r="R146">
        <f t="shared" si="12"/>
        <v>2006</v>
      </c>
      <c r="S146" s="10">
        <v>38975</v>
      </c>
      <c r="T146" s="2">
        <v>5.77</v>
      </c>
      <c r="U146" s="13">
        <v>38975</v>
      </c>
      <c r="V146" s="1">
        <v>21548.87</v>
      </c>
      <c r="X146" s="7">
        <f t="shared" si="9"/>
        <v>38975</v>
      </c>
      <c r="Y146" s="11">
        <f t="shared" si="10"/>
        <v>169.70588235294116</v>
      </c>
      <c r="Z146" s="11">
        <f t="shared" si="11"/>
        <v>244.36840213241018</v>
      </c>
    </row>
    <row r="147" spans="18:26">
      <c r="R147">
        <f t="shared" si="12"/>
        <v>2006</v>
      </c>
      <c r="S147" s="10">
        <v>38982</v>
      </c>
      <c r="T147" s="2">
        <v>5.72</v>
      </c>
      <c r="U147" s="13">
        <v>38982</v>
      </c>
      <c r="V147" s="1">
        <v>21390.43</v>
      </c>
      <c r="X147" s="7">
        <f t="shared" si="9"/>
        <v>38982</v>
      </c>
      <c r="Y147" s="11">
        <f t="shared" si="10"/>
        <v>168.23529411764704</v>
      </c>
      <c r="Z147" s="11">
        <f t="shared" si="11"/>
        <v>242.57166153144789</v>
      </c>
    </row>
    <row r="148" spans="18:26">
      <c r="R148">
        <f t="shared" si="12"/>
        <v>2006</v>
      </c>
      <c r="S148" s="10">
        <v>38989</v>
      </c>
      <c r="T148" s="2">
        <v>6.04</v>
      </c>
      <c r="U148" s="13">
        <v>38989</v>
      </c>
      <c r="V148" s="1">
        <v>21937.11</v>
      </c>
      <c r="X148" s="7">
        <f t="shared" si="9"/>
        <v>38989</v>
      </c>
      <c r="Y148" s="11">
        <f t="shared" si="10"/>
        <v>177.64705882352942</v>
      </c>
      <c r="Z148" s="11">
        <f t="shared" si="11"/>
        <v>248.77111969689906</v>
      </c>
    </row>
    <row r="149" spans="18:26">
      <c r="R149">
        <f t="shared" si="12"/>
        <v>2006</v>
      </c>
      <c r="S149" s="10">
        <v>38996</v>
      </c>
      <c r="T149" s="2">
        <v>6.36</v>
      </c>
      <c r="U149" s="13">
        <v>38996</v>
      </c>
      <c r="V149" s="1">
        <v>22350.05</v>
      </c>
      <c r="X149" s="7">
        <f t="shared" si="9"/>
        <v>38996</v>
      </c>
      <c r="Y149" s="11">
        <f t="shared" si="10"/>
        <v>187.05882352941177</v>
      </c>
      <c r="Z149" s="11">
        <f t="shared" si="11"/>
        <v>253.45394009428216</v>
      </c>
    </row>
    <row r="150" spans="18:26">
      <c r="R150">
        <f t="shared" si="12"/>
        <v>2006</v>
      </c>
      <c r="S150" s="10">
        <v>39003</v>
      </c>
      <c r="T150" s="2">
        <v>6.2</v>
      </c>
      <c r="U150" s="13">
        <v>39003</v>
      </c>
      <c r="V150" s="1">
        <v>22848.32</v>
      </c>
      <c r="X150" s="7">
        <f t="shared" si="9"/>
        <v>39003</v>
      </c>
      <c r="Y150" s="11">
        <f t="shared" si="10"/>
        <v>182.35294117647058</v>
      </c>
      <c r="Z150" s="11">
        <f t="shared" si="11"/>
        <v>259.10441938765189</v>
      </c>
    </row>
    <row r="151" spans="18:26">
      <c r="R151">
        <f t="shared" si="12"/>
        <v>2006</v>
      </c>
      <c r="S151" s="10">
        <v>39010</v>
      </c>
      <c r="T151" s="2">
        <v>6.08</v>
      </c>
      <c r="U151" s="13">
        <v>39010</v>
      </c>
      <c r="V151" s="1">
        <v>23233.48</v>
      </c>
      <c r="X151" s="7">
        <f t="shared" si="9"/>
        <v>39010</v>
      </c>
      <c r="Y151" s="11">
        <f t="shared" si="10"/>
        <v>178.8235294117647</v>
      </c>
      <c r="Z151" s="11">
        <f t="shared" si="11"/>
        <v>263.47220914949639</v>
      </c>
    </row>
    <row r="152" spans="18:26">
      <c r="R152">
        <f t="shared" si="12"/>
        <v>2006</v>
      </c>
      <c r="S152" s="10">
        <v>39017</v>
      </c>
      <c r="T152" s="2">
        <v>6.22</v>
      </c>
      <c r="U152" s="13">
        <v>39017</v>
      </c>
      <c r="V152" s="1">
        <v>22762.86</v>
      </c>
      <c r="X152" s="7">
        <f t="shared" si="9"/>
        <v>39017</v>
      </c>
      <c r="Y152" s="11">
        <f t="shared" si="10"/>
        <v>182.94117647058823</v>
      </c>
      <c r="Z152" s="11">
        <f t="shared" si="11"/>
        <v>258.135286266229</v>
      </c>
    </row>
    <row r="153" spans="18:26">
      <c r="R153">
        <f t="shared" si="12"/>
        <v>2006</v>
      </c>
      <c r="S153" s="10">
        <v>39024</v>
      </c>
      <c r="T153" s="2">
        <v>6.22</v>
      </c>
      <c r="U153" s="13">
        <v>39024</v>
      </c>
      <c r="V153" s="1">
        <v>23169.87</v>
      </c>
      <c r="X153" s="7">
        <f t="shared" si="9"/>
        <v>39024</v>
      </c>
      <c r="Y153" s="11">
        <f t="shared" si="10"/>
        <v>182.94117647058823</v>
      </c>
      <c r="Z153" s="11">
        <f t="shared" si="11"/>
        <v>262.75085930332614</v>
      </c>
    </row>
    <row r="154" spans="18:26">
      <c r="R154">
        <f t="shared" si="12"/>
        <v>2006</v>
      </c>
      <c r="S154" s="10">
        <v>39031</v>
      </c>
      <c r="T154" s="2">
        <v>6.26</v>
      </c>
      <c r="U154" s="13">
        <v>39031</v>
      </c>
      <c r="V154" s="1">
        <v>23951.63</v>
      </c>
      <c r="X154" s="7">
        <f t="shared" si="9"/>
        <v>39031</v>
      </c>
      <c r="Y154" s="11">
        <f t="shared" si="10"/>
        <v>184.11764705882351</v>
      </c>
      <c r="Z154" s="11">
        <f t="shared" si="11"/>
        <v>271.61617066540839</v>
      </c>
    </row>
    <row r="155" spans="18:26">
      <c r="R155">
        <f t="shared" si="12"/>
        <v>2006</v>
      </c>
      <c r="S155" s="10">
        <v>39038</v>
      </c>
      <c r="T155" s="2">
        <v>6.64</v>
      </c>
      <c r="U155" s="13">
        <v>39038</v>
      </c>
      <c r="V155" s="1">
        <v>24196.05</v>
      </c>
      <c r="X155" s="7">
        <f t="shared" si="9"/>
        <v>39038</v>
      </c>
      <c r="Y155" s="11">
        <f t="shared" si="10"/>
        <v>195.29411764705881</v>
      </c>
      <c r="Z155" s="11">
        <f t="shared" si="11"/>
        <v>274.38794128953873</v>
      </c>
    </row>
    <row r="156" spans="18:26">
      <c r="R156">
        <f t="shared" si="12"/>
        <v>2006</v>
      </c>
      <c r="S156" s="10">
        <v>39045</v>
      </c>
      <c r="T156" s="2">
        <v>6.75</v>
      </c>
      <c r="U156" s="13">
        <v>39045</v>
      </c>
      <c r="V156" s="1">
        <v>24792.89</v>
      </c>
      <c r="X156" s="7">
        <f t="shared" si="9"/>
        <v>39045</v>
      </c>
      <c r="Y156" s="11">
        <f t="shared" si="10"/>
        <v>198.52941176470586</v>
      </c>
      <c r="Z156" s="11">
        <f t="shared" si="11"/>
        <v>281.15622366948287</v>
      </c>
    </row>
    <row r="157" spans="18:26">
      <c r="R157">
        <f t="shared" si="12"/>
        <v>2006</v>
      </c>
      <c r="S157" s="10">
        <v>39052</v>
      </c>
      <c r="T157" s="2">
        <v>6.65</v>
      </c>
      <c r="U157" s="13">
        <v>39052</v>
      </c>
      <c r="V157" s="1">
        <v>24962.01</v>
      </c>
      <c r="X157" s="7">
        <f t="shared" si="9"/>
        <v>39052</v>
      </c>
      <c r="Y157" s="11">
        <f t="shared" si="10"/>
        <v>195.58823529411765</v>
      </c>
      <c r="Z157" s="11">
        <f t="shared" si="11"/>
        <v>283.07407756013384</v>
      </c>
    </row>
    <row r="158" spans="18:26">
      <c r="R158">
        <f t="shared" si="12"/>
        <v>2006</v>
      </c>
      <c r="S158" s="10">
        <v>39059</v>
      </c>
      <c r="T158" s="2">
        <v>6.73</v>
      </c>
      <c r="U158" s="13">
        <v>39059</v>
      </c>
      <c r="V158" s="1">
        <v>25756.81</v>
      </c>
      <c r="X158" s="7">
        <f t="shared" si="9"/>
        <v>39059</v>
      </c>
      <c r="Y158" s="11">
        <f t="shared" si="10"/>
        <v>197.94117647058823</v>
      </c>
      <c r="Z158" s="11">
        <f t="shared" si="11"/>
        <v>292.08726507367123</v>
      </c>
    </row>
    <row r="159" spans="18:26">
      <c r="R159">
        <f t="shared" si="12"/>
        <v>2006</v>
      </c>
      <c r="S159" s="10">
        <v>39066</v>
      </c>
      <c r="T159" s="2">
        <v>6.99</v>
      </c>
      <c r="U159" s="13">
        <v>39066</v>
      </c>
      <c r="V159" s="1">
        <v>25757.68</v>
      </c>
      <c r="X159" s="7">
        <f t="shared" si="9"/>
        <v>39066</v>
      </c>
      <c r="Y159" s="11">
        <f t="shared" si="10"/>
        <v>205.58823529411762</v>
      </c>
      <c r="Z159" s="11">
        <f t="shared" si="11"/>
        <v>292.09713104389868</v>
      </c>
    </row>
    <row r="160" spans="18:26">
      <c r="R160">
        <f t="shared" si="12"/>
        <v>2006</v>
      </c>
      <c r="S160" s="10">
        <v>39073</v>
      </c>
      <c r="T160" s="2">
        <v>7.23</v>
      </c>
      <c r="U160" s="13">
        <v>39073</v>
      </c>
      <c r="V160" s="1">
        <v>25432.639999999999</v>
      </c>
      <c r="X160" s="7">
        <f t="shared" si="9"/>
        <v>39073</v>
      </c>
      <c r="Y160" s="11">
        <f t="shared" si="10"/>
        <v>212.64705882352939</v>
      </c>
      <c r="Z160" s="11">
        <f t="shared" si="11"/>
        <v>288.41111384535793</v>
      </c>
    </row>
    <row r="161" spans="18:26">
      <c r="R161">
        <f t="shared" si="12"/>
        <v>2006</v>
      </c>
      <c r="S161" s="10">
        <v>39080</v>
      </c>
      <c r="T161" s="2">
        <v>7.33</v>
      </c>
      <c r="U161" s="13">
        <v>39080</v>
      </c>
      <c r="V161" s="1">
        <v>26448.32</v>
      </c>
      <c r="X161" s="7">
        <f t="shared" si="9"/>
        <v>39080</v>
      </c>
      <c r="Y161" s="11">
        <f t="shared" si="10"/>
        <v>215.58823529411762</v>
      </c>
      <c r="Z161" s="11">
        <f t="shared" si="11"/>
        <v>299.92912377710132</v>
      </c>
    </row>
    <row r="162" spans="18:26">
      <c r="R162">
        <f t="shared" si="12"/>
        <v>2007</v>
      </c>
      <c r="S162" s="10">
        <v>39087</v>
      </c>
      <c r="T162" s="2">
        <v>7.23</v>
      </c>
      <c r="U162" s="13">
        <v>39087</v>
      </c>
      <c r="V162" s="1">
        <v>26135.599999999999</v>
      </c>
      <c r="X162" s="7">
        <f t="shared" si="9"/>
        <v>39087</v>
      </c>
      <c r="Y162" s="11">
        <f t="shared" si="10"/>
        <v>212.64705882352939</v>
      </c>
      <c r="Z162" s="11">
        <f t="shared" si="11"/>
        <v>296.38281778913779</v>
      </c>
    </row>
    <row r="163" spans="18:26">
      <c r="R163">
        <f t="shared" si="12"/>
        <v>2007</v>
      </c>
      <c r="S163" s="10">
        <v>39094</v>
      </c>
      <c r="T163" s="2">
        <v>7.22</v>
      </c>
      <c r="U163" s="13">
        <v>39094</v>
      </c>
      <c r="V163" s="1">
        <v>26324.38</v>
      </c>
      <c r="X163" s="7">
        <f t="shared" si="9"/>
        <v>39094</v>
      </c>
      <c r="Y163" s="11">
        <f t="shared" si="10"/>
        <v>212.35294117647055</v>
      </c>
      <c r="Z163" s="11">
        <f t="shared" si="11"/>
        <v>298.52361992653789</v>
      </c>
    </row>
    <row r="164" spans="18:26">
      <c r="R164">
        <f t="shared" si="12"/>
        <v>2007</v>
      </c>
      <c r="S164" s="10">
        <v>39101</v>
      </c>
      <c r="T164" s="2">
        <v>7.03</v>
      </c>
      <c r="U164" s="13">
        <v>39101</v>
      </c>
      <c r="V164" s="1">
        <v>26213.38</v>
      </c>
      <c r="X164" s="7">
        <f t="shared" si="9"/>
        <v>39101</v>
      </c>
      <c r="Y164" s="11">
        <f t="shared" si="10"/>
        <v>206.7647058823529</v>
      </c>
      <c r="Z164" s="11">
        <f t="shared" si="11"/>
        <v>297.2648582078632</v>
      </c>
    </row>
    <row r="165" spans="18:26">
      <c r="R165">
        <f t="shared" si="12"/>
        <v>2007</v>
      </c>
      <c r="S165" s="10">
        <v>39108</v>
      </c>
      <c r="T165" s="2">
        <v>6.79</v>
      </c>
      <c r="U165" s="13">
        <v>39108</v>
      </c>
      <c r="V165" s="1">
        <v>27045.71</v>
      </c>
      <c r="X165" s="7">
        <f t="shared" si="9"/>
        <v>39108</v>
      </c>
      <c r="Y165" s="11">
        <f t="shared" si="10"/>
        <v>199.70588235294113</v>
      </c>
      <c r="Z165" s="11">
        <f t="shared" si="11"/>
        <v>306.70364326466051</v>
      </c>
    </row>
    <row r="166" spans="18:26">
      <c r="R166">
        <f t="shared" si="12"/>
        <v>2007</v>
      </c>
      <c r="S166" s="10">
        <v>39115</v>
      </c>
      <c r="T166" s="2">
        <v>7.17</v>
      </c>
      <c r="U166" s="13">
        <v>39115</v>
      </c>
      <c r="V166" s="1">
        <v>27933.07</v>
      </c>
      <c r="X166" s="7">
        <f t="shared" si="9"/>
        <v>39115</v>
      </c>
      <c r="Y166" s="11">
        <f t="shared" si="10"/>
        <v>210.88235294117644</v>
      </c>
      <c r="Z166" s="11">
        <f t="shared" si="11"/>
        <v>316.76647928883324</v>
      </c>
    </row>
    <row r="167" spans="18:26">
      <c r="R167">
        <f t="shared" si="12"/>
        <v>2007</v>
      </c>
      <c r="S167" s="10">
        <v>39122</v>
      </c>
      <c r="T167" s="2">
        <v>7.11</v>
      </c>
      <c r="U167" s="13">
        <v>39122</v>
      </c>
      <c r="V167" s="1">
        <v>27906.89</v>
      </c>
      <c r="X167" s="7">
        <f t="shared" si="9"/>
        <v>39122</v>
      </c>
      <c r="Y167" s="11">
        <f t="shared" si="10"/>
        <v>209.11764705882351</v>
      </c>
      <c r="Z167" s="11">
        <f t="shared" si="11"/>
        <v>316.46959296635663</v>
      </c>
    </row>
    <row r="168" spans="18:26">
      <c r="R168">
        <f t="shared" si="12"/>
        <v>2007</v>
      </c>
      <c r="S168" s="10">
        <v>39129</v>
      </c>
      <c r="T168" s="2">
        <v>7.46</v>
      </c>
      <c r="U168" s="13">
        <v>39129</v>
      </c>
      <c r="V168" s="1">
        <v>28491.07</v>
      </c>
      <c r="X168" s="7">
        <f t="shared" si="9"/>
        <v>39129</v>
      </c>
      <c r="Y168" s="11">
        <f t="shared" si="10"/>
        <v>219.41176470588232</v>
      </c>
      <c r="Z168" s="11">
        <f t="shared" si="11"/>
        <v>323.09430846919793</v>
      </c>
    </row>
    <row r="169" spans="18:26">
      <c r="R169">
        <f t="shared" si="12"/>
        <v>2007</v>
      </c>
      <c r="S169" s="10">
        <v>39136</v>
      </c>
      <c r="T169" s="2">
        <v>7.36</v>
      </c>
      <c r="U169" s="13">
        <v>39136</v>
      </c>
      <c r="V169" s="1">
        <v>28505.72</v>
      </c>
      <c r="X169" s="7">
        <f t="shared" si="9"/>
        <v>39136</v>
      </c>
      <c r="Y169" s="11">
        <f t="shared" si="10"/>
        <v>216.47058823529412</v>
      </c>
      <c r="Z169" s="11">
        <f t="shared" si="11"/>
        <v>323.26044233567166</v>
      </c>
    </row>
    <row r="170" spans="18:26">
      <c r="R170">
        <f t="shared" si="12"/>
        <v>2007</v>
      </c>
      <c r="S170" s="10">
        <v>39143</v>
      </c>
      <c r="T170" s="2">
        <v>6.72</v>
      </c>
      <c r="U170" s="13">
        <v>39143</v>
      </c>
      <c r="V170" s="1">
        <v>26321.119999999999</v>
      </c>
      <c r="X170" s="7">
        <f t="shared" si="9"/>
        <v>39143</v>
      </c>
      <c r="Y170" s="11">
        <f t="shared" si="10"/>
        <v>197.64705882352939</v>
      </c>
      <c r="Z170" s="11">
        <f t="shared" si="11"/>
        <v>298.48665088867403</v>
      </c>
    </row>
    <row r="171" spans="18:26">
      <c r="R171">
        <f t="shared" si="12"/>
        <v>2007</v>
      </c>
      <c r="S171" s="10">
        <v>39150</v>
      </c>
      <c r="T171" s="2">
        <v>6.84</v>
      </c>
      <c r="U171" s="13">
        <v>39150</v>
      </c>
      <c r="V171" s="1">
        <v>27106.53</v>
      </c>
      <c r="X171" s="7">
        <f t="shared" si="9"/>
        <v>39150</v>
      </c>
      <c r="Y171" s="11">
        <f t="shared" si="10"/>
        <v>201.17647058823525</v>
      </c>
      <c r="Z171" s="11">
        <f t="shared" si="11"/>
        <v>307.39335396492891</v>
      </c>
    </row>
    <row r="172" spans="18:26">
      <c r="R172">
        <f t="shared" si="12"/>
        <v>2007</v>
      </c>
      <c r="S172" s="10">
        <v>39157</v>
      </c>
      <c r="T172" s="2">
        <v>7.22</v>
      </c>
      <c r="U172" s="13">
        <v>39157</v>
      </c>
      <c r="V172" s="1">
        <v>26901.42</v>
      </c>
      <c r="X172" s="7">
        <f t="shared" si="9"/>
        <v>39157</v>
      </c>
      <c r="Y172" s="11">
        <f t="shared" si="10"/>
        <v>212.35294117647055</v>
      </c>
      <c r="Z172" s="11">
        <f t="shared" si="11"/>
        <v>305.06736643234001</v>
      </c>
    </row>
    <row r="173" spans="18:26">
      <c r="R173">
        <f t="shared" si="12"/>
        <v>2007</v>
      </c>
      <c r="S173" s="10">
        <v>39164</v>
      </c>
      <c r="T173" s="2">
        <v>7.6</v>
      </c>
      <c r="U173" s="13">
        <v>39164</v>
      </c>
      <c r="V173" s="1">
        <v>28272.03</v>
      </c>
      <c r="X173" s="7">
        <f t="shared" si="9"/>
        <v>39164</v>
      </c>
      <c r="Y173" s="11">
        <f t="shared" si="10"/>
        <v>223.52941176470583</v>
      </c>
      <c r="Z173" s="11">
        <f t="shared" si="11"/>
        <v>320.61035201101316</v>
      </c>
    </row>
    <row r="174" spans="18:26">
      <c r="R174">
        <f t="shared" si="12"/>
        <v>2007</v>
      </c>
      <c r="S174" s="10">
        <v>39171</v>
      </c>
      <c r="T174" s="2">
        <v>7.34</v>
      </c>
      <c r="U174" s="13">
        <v>39171</v>
      </c>
      <c r="V174" s="1">
        <v>28747.69</v>
      </c>
      <c r="X174" s="7">
        <f t="shared" si="9"/>
        <v>39171</v>
      </c>
      <c r="Y174" s="11">
        <f t="shared" si="10"/>
        <v>215.88235294117641</v>
      </c>
      <c r="Z174" s="11">
        <f t="shared" si="11"/>
        <v>326.00442948042581</v>
      </c>
    </row>
    <row r="175" spans="18:26">
      <c r="R175">
        <f t="shared" si="12"/>
        <v>2007</v>
      </c>
      <c r="S175" s="10">
        <v>39178</v>
      </c>
      <c r="T175" s="2">
        <v>7.92</v>
      </c>
      <c r="U175" s="13">
        <v>39178</v>
      </c>
      <c r="V175" s="1">
        <v>29370.94</v>
      </c>
      <c r="X175" s="7">
        <f t="shared" si="9"/>
        <v>39178</v>
      </c>
      <c r="Y175" s="11">
        <f t="shared" si="10"/>
        <v>232.94117647058815</v>
      </c>
      <c r="Z175" s="11">
        <f t="shared" si="11"/>
        <v>333.07220642784921</v>
      </c>
    </row>
    <row r="176" spans="18:26">
      <c r="R176">
        <f t="shared" si="12"/>
        <v>2007</v>
      </c>
      <c r="S176" s="10">
        <v>39185</v>
      </c>
      <c r="T176" s="2">
        <v>7.6</v>
      </c>
      <c r="U176" s="13">
        <v>39185</v>
      </c>
      <c r="V176" s="1">
        <v>29762.22</v>
      </c>
      <c r="X176" s="7">
        <f t="shared" si="9"/>
        <v>39185</v>
      </c>
      <c r="Y176" s="11">
        <f t="shared" si="10"/>
        <v>223.5294117647058</v>
      </c>
      <c r="Z176" s="11">
        <f t="shared" si="11"/>
        <v>337.5093981871558</v>
      </c>
    </row>
    <row r="177" spans="18:26">
      <c r="R177">
        <f t="shared" si="12"/>
        <v>2007</v>
      </c>
      <c r="S177" s="10">
        <v>39192</v>
      </c>
      <c r="T177" s="2">
        <v>7.62</v>
      </c>
      <c r="U177" s="13">
        <v>39192</v>
      </c>
      <c r="V177" s="1">
        <v>29832.48</v>
      </c>
      <c r="X177" s="7">
        <f t="shared" si="9"/>
        <v>39192</v>
      </c>
      <c r="Y177" s="11">
        <f t="shared" si="10"/>
        <v>224.11764705882348</v>
      </c>
      <c r="Z177" s="11">
        <f t="shared" si="11"/>
        <v>338.3061603344899</v>
      </c>
    </row>
    <row r="178" spans="18:26">
      <c r="R178">
        <f t="shared" si="12"/>
        <v>2007</v>
      </c>
      <c r="S178" s="10">
        <v>39199</v>
      </c>
      <c r="T178" s="2">
        <v>7.04</v>
      </c>
      <c r="U178" s="13">
        <v>39199</v>
      </c>
      <c r="V178" s="1">
        <v>29372.93</v>
      </c>
      <c r="X178" s="7">
        <f t="shared" si="9"/>
        <v>39199</v>
      </c>
      <c r="Y178" s="11">
        <f t="shared" si="10"/>
        <v>207.05882352941171</v>
      </c>
      <c r="Z178" s="11">
        <f t="shared" si="11"/>
        <v>333.09477341722004</v>
      </c>
    </row>
    <row r="179" spans="18:26">
      <c r="R179">
        <f t="shared" si="12"/>
        <v>2007</v>
      </c>
      <c r="S179" s="10">
        <v>39206</v>
      </c>
      <c r="T179" s="2">
        <v>7.26</v>
      </c>
      <c r="U179" s="13">
        <v>39206</v>
      </c>
      <c r="V179" s="1">
        <v>30013.85</v>
      </c>
      <c r="X179" s="7">
        <f t="shared" si="9"/>
        <v>39206</v>
      </c>
      <c r="Y179" s="11">
        <f t="shared" si="10"/>
        <v>213.52941176470583</v>
      </c>
      <c r="Z179" s="11">
        <f t="shared" si="11"/>
        <v>340.36293162202168</v>
      </c>
    </row>
    <row r="180" spans="18:26">
      <c r="R180">
        <f t="shared" si="12"/>
        <v>2007</v>
      </c>
      <c r="S180" s="10">
        <v>39213</v>
      </c>
      <c r="T180" s="2">
        <v>7.17</v>
      </c>
      <c r="U180" s="13">
        <v>39213</v>
      </c>
      <c r="V180" s="1">
        <v>30058.75</v>
      </c>
      <c r="X180" s="7">
        <f t="shared" si="9"/>
        <v>39213</v>
      </c>
      <c r="Y180" s="11">
        <f t="shared" si="10"/>
        <v>210.88235294117644</v>
      </c>
      <c r="Z180" s="11">
        <f t="shared" si="11"/>
        <v>340.87210640732349</v>
      </c>
    </row>
    <row r="181" spans="18:26">
      <c r="R181">
        <f t="shared" si="12"/>
        <v>2007</v>
      </c>
      <c r="S181" s="10">
        <v>39220</v>
      </c>
      <c r="T181" s="2">
        <v>7.06</v>
      </c>
      <c r="U181" s="13">
        <v>39220</v>
      </c>
      <c r="V181" s="1">
        <v>30676.34</v>
      </c>
      <c r="X181" s="7">
        <f t="shared" si="9"/>
        <v>39220</v>
      </c>
      <c r="Y181" s="11">
        <f t="shared" si="10"/>
        <v>207.64705882352936</v>
      </c>
      <c r="Z181" s="11">
        <f t="shared" si="11"/>
        <v>347.87569784729016</v>
      </c>
    </row>
    <row r="182" spans="18:26">
      <c r="R182">
        <f t="shared" si="12"/>
        <v>2007</v>
      </c>
      <c r="S182" s="10">
        <v>39227</v>
      </c>
      <c r="T182" s="2">
        <v>6.86</v>
      </c>
      <c r="U182" s="13">
        <v>39227</v>
      </c>
      <c r="V182" s="1">
        <v>30700.01</v>
      </c>
      <c r="X182" s="7">
        <f t="shared" si="9"/>
        <v>39227</v>
      </c>
      <c r="Y182" s="11">
        <f t="shared" si="10"/>
        <v>201.7647058823529</v>
      </c>
      <c r="Z182" s="11">
        <f t="shared" si="11"/>
        <v>348.14412027865075</v>
      </c>
    </row>
    <row r="183" spans="18:26">
      <c r="R183">
        <f t="shared" si="12"/>
        <v>2007</v>
      </c>
      <c r="S183" s="10">
        <v>39234</v>
      </c>
      <c r="T183" s="2">
        <v>7.06</v>
      </c>
      <c r="U183" s="13">
        <v>39234</v>
      </c>
      <c r="V183" s="1">
        <v>31946.400000000001</v>
      </c>
      <c r="X183" s="7">
        <f t="shared" si="9"/>
        <v>39234</v>
      </c>
      <c r="Y183" s="11">
        <f t="shared" si="10"/>
        <v>207.64705882352933</v>
      </c>
      <c r="Z183" s="11">
        <f t="shared" si="11"/>
        <v>362.27842675197468</v>
      </c>
    </row>
    <row r="184" spans="18:26">
      <c r="R184">
        <f t="shared" si="12"/>
        <v>2007</v>
      </c>
      <c r="S184" s="10">
        <v>39241</v>
      </c>
      <c r="T184" s="2">
        <v>6.91</v>
      </c>
      <c r="U184" s="13">
        <v>39241</v>
      </c>
      <c r="V184" s="1">
        <v>31466.6</v>
      </c>
      <c r="X184" s="7">
        <f t="shared" si="9"/>
        <v>39241</v>
      </c>
      <c r="Y184" s="11">
        <f t="shared" si="10"/>
        <v>203.23529411764702</v>
      </c>
      <c r="Z184" s="11">
        <f t="shared" si="11"/>
        <v>356.83740087251414</v>
      </c>
    </row>
    <row r="185" spans="18:26">
      <c r="R185">
        <f t="shared" si="12"/>
        <v>2007</v>
      </c>
      <c r="S185" s="10">
        <v>39248</v>
      </c>
      <c r="T185" s="2">
        <v>7.02</v>
      </c>
      <c r="U185" s="13">
        <v>39248</v>
      </c>
      <c r="V185" s="1">
        <v>32128.97</v>
      </c>
      <c r="X185" s="7">
        <f t="shared" si="9"/>
        <v>39248</v>
      </c>
      <c r="Y185" s="11">
        <f t="shared" si="10"/>
        <v>206.47058823529403</v>
      </c>
      <c r="Z185" s="11">
        <f t="shared" si="11"/>
        <v>364.34880627430294</v>
      </c>
    </row>
    <row r="186" spans="18:26">
      <c r="R186">
        <f t="shared" si="12"/>
        <v>2007</v>
      </c>
      <c r="S186" s="10">
        <v>39255</v>
      </c>
      <c r="T186" s="2">
        <v>6.98</v>
      </c>
      <c r="U186" s="13">
        <v>39255</v>
      </c>
      <c r="V186" s="1">
        <v>31642.26</v>
      </c>
      <c r="X186" s="7">
        <f t="shared" si="9"/>
        <v>39255</v>
      </c>
      <c r="Y186" s="11">
        <f t="shared" si="10"/>
        <v>205.29411764705875</v>
      </c>
      <c r="Z186" s="11">
        <f t="shared" si="11"/>
        <v>358.82941964280599</v>
      </c>
    </row>
    <row r="187" spans="18:26">
      <c r="R187">
        <f t="shared" si="12"/>
        <v>2007</v>
      </c>
      <c r="S187" s="10">
        <v>39262</v>
      </c>
      <c r="T187" s="2">
        <v>7</v>
      </c>
      <c r="U187" s="13">
        <v>39262</v>
      </c>
      <c r="V187" s="1">
        <v>31151.05</v>
      </c>
      <c r="X187" s="7">
        <f t="shared" si="9"/>
        <v>39262</v>
      </c>
      <c r="Y187" s="11">
        <f t="shared" si="10"/>
        <v>205.88235294117641</v>
      </c>
      <c r="Z187" s="11">
        <f t="shared" si="11"/>
        <v>353.2590021308223</v>
      </c>
    </row>
    <row r="188" spans="18:26">
      <c r="R188">
        <f t="shared" si="12"/>
        <v>2007</v>
      </c>
      <c r="S188" s="10">
        <v>39269</v>
      </c>
      <c r="T188" s="2">
        <v>7.15</v>
      </c>
      <c r="U188" s="13">
        <v>39269</v>
      </c>
      <c r="V188" s="1">
        <v>32411.84</v>
      </c>
      <c r="X188" s="7">
        <f t="shared" si="9"/>
        <v>39269</v>
      </c>
      <c r="Y188" s="11">
        <f t="shared" si="10"/>
        <v>210.29411764705878</v>
      </c>
      <c r="Z188" s="11">
        <f t="shared" si="11"/>
        <v>367.55660742170403</v>
      </c>
    </row>
    <row r="189" spans="18:26">
      <c r="R189">
        <f t="shared" si="12"/>
        <v>2007</v>
      </c>
      <c r="S189" s="10">
        <v>39276</v>
      </c>
      <c r="T189" s="2">
        <v>7.4</v>
      </c>
      <c r="U189" s="13">
        <v>39276</v>
      </c>
      <c r="V189" s="1">
        <v>32386.51</v>
      </c>
      <c r="X189" s="7">
        <f t="shared" si="9"/>
        <v>39276</v>
      </c>
      <c r="Y189" s="11">
        <f t="shared" si="10"/>
        <v>217.64705882352939</v>
      </c>
      <c r="Z189" s="11">
        <f t="shared" si="11"/>
        <v>367.26936026554159</v>
      </c>
    </row>
    <row r="190" spans="18:26">
      <c r="R190">
        <f t="shared" si="12"/>
        <v>2007</v>
      </c>
      <c r="S190" s="10">
        <v>39283</v>
      </c>
      <c r="T190" s="2">
        <v>7.02</v>
      </c>
      <c r="U190" s="13">
        <v>39283</v>
      </c>
      <c r="V190" s="1">
        <v>31922.62</v>
      </c>
      <c r="X190" s="7">
        <f t="shared" si="9"/>
        <v>39283</v>
      </c>
      <c r="Y190" s="11">
        <f t="shared" si="10"/>
        <v>206.47058823529406</v>
      </c>
      <c r="Z190" s="11">
        <f t="shared" si="11"/>
        <v>362.00875689909111</v>
      </c>
    </row>
    <row r="191" spans="18:26">
      <c r="R191">
        <f t="shared" si="12"/>
        <v>2007</v>
      </c>
      <c r="S191" s="10">
        <v>39290</v>
      </c>
      <c r="T191" s="2">
        <v>6.65</v>
      </c>
      <c r="U191" s="13">
        <v>39290</v>
      </c>
      <c r="V191" s="1">
        <v>30235.17</v>
      </c>
      <c r="X191" s="7">
        <f t="shared" si="9"/>
        <v>39290</v>
      </c>
      <c r="Y191" s="11">
        <f t="shared" si="10"/>
        <v>195.58823529411762</v>
      </c>
      <c r="Z191" s="11">
        <f t="shared" si="11"/>
        <v>342.87274372631987</v>
      </c>
    </row>
    <row r="192" spans="18:26">
      <c r="R192">
        <f t="shared" si="12"/>
        <v>2007</v>
      </c>
      <c r="S192" s="10">
        <v>39297</v>
      </c>
      <c r="T192" s="2">
        <v>6.51</v>
      </c>
      <c r="U192" s="13">
        <v>39297</v>
      </c>
      <c r="V192" s="1">
        <v>29671.77</v>
      </c>
      <c r="X192" s="7">
        <f t="shared" si="9"/>
        <v>39297</v>
      </c>
      <c r="Y192" s="11">
        <f t="shared" si="10"/>
        <v>191.47058823529409</v>
      </c>
      <c r="Z192" s="11">
        <f t="shared" si="11"/>
        <v>336.48367748937102</v>
      </c>
    </row>
    <row r="193" spans="18:26">
      <c r="R193">
        <f t="shared" si="12"/>
        <v>2007</v>
      </c>
      <c r="S193" s="10">
        <v>39304</v>
      </c>
      <c r="T193" s="2">
        <v>6.52</v>
      </c>
      <c r="U193" s="13">
        <v>39304</v>
      </c>
      <c r="V193" s="1">
        <v>29420.47</v>
      </c>
      <c r="X193" s="7">
        <f t="shared" si="9"/>
        <v>39304</v>
      </c>
      <c r="Y193" s="11">
        <f t="shared" si="10"/>
        <v>191.76470588235293</v>
      </c>
      <c r="Z193" s="11">
        <f t="shared" si="11"/>
        <v>333.63388631907418</v>
      </c>
    </row>
    <row r="194" spans="18:26">
      <c r="R194">
        <f t="shared" si="12"/>
        <v>2007</v>
      </c>
      <c r="S194" s="10">
        <v>39311</v>
      </c>
      <c r="T194" s="2">
        <v>6.38</v>
      </c>
      <c r="U194" s="13">
        <v>39311</v>
      </c>
      <c r="V194" s="1">
        <v>28510.66</v>
      </c>
      <c r="X194" s="7">
        <f t="shared" si="9"/>
        <v>39311</v>
      </c>
      <c r="Y194" s="11">
        <f t="shared" si="10"/>
        <v>187.64705882352939</v>
      </c>
      <c r="Z194" s="11">
        <f t="shared" si="11"/>
        <v>323.31646290225052</v>
      </c>
    </row>
    <row r="195" spans="18:26">
      <c r="R195">
        <f t="shared" si="12"/>
        <v>2007</v>
      </c>
      <c r="S195" s="10">
        <v>39318</v>
      </c>
      <c r="T195" s="2">
        <v>6.79</v>
      </c>
      <c r="U195" s="13">
        <v>39318</v>
      </c>
      <c r="V195" s="1">
        <v>30041.54</v>
      </c>
      <c r="X195" s="7">
        <f t="shared" si="9"/>
        <v>39318</v>
      </c>
      <c r="Y195" s="11">
        <f t="shared" si="10"/>
        <v>199.70588235294116</v>
      </c>
      <c r="Z195" s="11">
        <f t="shared" si="11"/>
        <v>340.67694163995066</v>
      </c>
    </row>
    <row r="196" spans="18:26">
      <c r="R196">
        <f t="shared" si="12"/>
        <v>2007</v>
      </c>
      <c r="S196" s="10">
        <v>39325</v>
      </c>
      <c r="T196" s="2">
        <v>7.11</v>
      </c>
      <c r="U196" s="13">
        <v>39325</v>
      </c>
      <c r="V196" s="1">
        <v>30347.86</v>
      </c>
      <c r="X196" s="7">
        <f t="shared" si="9"/>
        <v>39325</v>
      </c>
      <c r="Y196" s="11">
        <f t="shared" si="10"/>
        <v>209.11764705882354</v>
      </c>
      <c r="Z196" s="11">
        <f t="shared" si="11"/>
        <v>344.15067037566627</v>
      </c>
    </row>
    <row r="197" spans="18:26">
      <c r="R197">
        <f t="shared" si="12"/>
        <v>2007</v>
      </c>
      <c r="S197" s="10">
        <v>39332</v>
      </c>
      <c r="T197" s="2">
        <v>7.33</v>
      </c>
      <c r="U197" s="13">
        <v>39332</v>
      </c>
      <c r="V197" s="1">
        <v>30252.77</v>
      </c>
      <c r="X197" s="7">
        <f t="shared" ref="X197:X260" si="13">+S197</f>
        <v>39332</v>
      </c>
      <c r="Y197" s="11">
        <f t="shared" si="10"/>
        <v>215.58823529411762</v>
      </c>
      <c r="Z197" s="11">
        <f t="shared" si="11"/>
        <v>343.07233117000158</v>
      </c>
    </row>
    <row r="198" spans="18:26">
      <c r="R198">
        <f t="shared" si="12"/>
        <v>2007</v>
      </c>
      <c r="S198" s="10">
        <v>39339</v>
      </c>
      <c r="T198" s="2">
        <v>7.74</v>
      </c>
      <c r="U198" s="13">
        <v>39339</v>
      </c>
      <c r="V198" s="1">
        <v>30096.03</v>
      </c>
      <c r="X198" s="7">
        <f t="shared" si="13"/>
        <v>39339</v>
      </c>
      <c r="Y198" s="11">
        <f t="shared" ref="Y198:Y261" si="14">+Y197*(T198/T197)</f>
        <v>227.64705882352936</v>
      </c>
      <c r="Z198" s="11">
        <f t="shared" ref="Z198:Z261" si="15">+Z197*(V198/V197)</f>
        <v>341.2948689016676</v>
      </c>
    </row>
    <row r="199" spans="18:26">
      <c r="R199">
        <f t="shared" ref="R199:R262" si="16">+YEAR(S199)</f>
        <v>2007</v>
      </c>
      <c r="S199" s="10">
        <v>39346</v>
      </c>
      <c r="T199" s="2">
        <v>7.58</v>
      </c>
      <c r="U199" s="13">
        <v>39346</v>
      </c>
      <c r="V199" s="1">
        <v>30583.07</v>
      </c>
      <c r="X199" s="7">
        <f t="shared" si="13"/>
        <v>39346</v>
      </c>
      <c r="Y199" s="11">
        <f t="shared" si="14"/>
        <v>222.9411764705882</v>
      </c>
      <c r="Z199" s="11">
        <f t="shared" si="15"/>
        <v>346.81799779773354</v>
      </c>
    </row>
    <row r="200" spans="18:26">
      <c r="R200">
        <f t="shared" si="16"/>
        <v>2007</v>
      </c>
      <c r="S200" s="10">
        <v>39353</v>
      </c>
      <c r="T200" s="2">
        <v>7.53</v>
      </c>
      <c r="U200" s="13">
        <v>39353</v>
      </c>
      <c r="V200" s="1">
        <v>30296.19</v>
      </c>
      <c r="X200" s="7">
        <f t="shared" si="13"/>
        <v>39353</v>
      </c>
      <c r="Y200" s="11">
        <f t="shared" si="14"/>
        <v>221.47058823529412</v>
      </c>
      <c r="Z200" s="11">
        <f t="shared" si="15"/>
        <v>343.56472246572099</v>
      </c>
    </row>
    <row r="201" spans="18:26">
      <c r="R201">
        <f t="shared" si="16"/>
        <v>2007</v>
      </c>
      <c r="S201" s="10">
        <v>39360</v>
      </c>
      <c r="T201" s="2">
        <v>7.81</v>
      </c>
      <c r="U201" s="13">
        <v>39360</v>
      </c>
      <c r="V201" s="1">
        <v>31540.94</v>
      </c>
      <c r="X201" s="7">
        <f t="shared" si="13"/>
        <v>39360</v>
      </c>
      <c r="Y201" s="11">
        <f t="shared" si="14"/>
        <v>229.70588235294116</v>
      </c>
      <c r="Z201" s="11">
        <f t="shared" si="15"/>
        <v>357.68043101815636</v>
      </c>
    </row>
    <row r="202" spans="18:26">
      <c r="R202">
        <f t="shared" si="16"/>
        <v>2007</v>
      </c>
      <c r="S202" s="10">
        <v>39367</v>
      </c>
      <c r="T202" s="2">
        <v>7.82</v>
      </c>
      <c r="U202" s="13">
        <v>39367</v>
      </c>
      <c r="V202" s="1">
        <v>32473.47</v>
      </c>
      <c r="X202" s="7">
        <f t="shared" si="13"/>
        <v>39367</v>
      </c>
      <c r="Y202" s="11">
        <f t="shared" si="14"/>
        <v>230.00000000000003</v>
      </c>
      <c r="Z202" s="11">
        <f t="shared" si="15"/>
        <v>368.25550368046009</v>
      </c>
    </row>
    <row r="203" spans="18:26">
      <c r="R203">
        <f t="shared" si="16"/>
        <v>2007</v>
      </c>
      <c r="S203" s="10">
        <v>39374</v>
      </c>
      <c r="T203" s="2">
        <v>7.48</v>
      </c>
      <c r="U203" s="13">
        <v>39374</v>
      </c>
      <c r="V203" s="1">
        <v>31823.4</v>
      </c>
      <c r="X203" s="7">
        <f t="shared" si="13"/>
        <v>39374</v>
      </c>
      <c r="Y203" s="11">
        <f t="shared" si="14"/>
        <v>220.00000000000003</v>
      </c>
      <c r="Z203" s="11">
        <f t="shared" si="15"/>
        <v>360.88358268533528</v>
      </c>
    </row>
    <row r="204" spans="18:26">
      <c r="R204">
        <f t="shared" si="16"/>
        <v>2007</v>
      </c>
      <c r="S204" s="10">
        <v>39381</v>
      </c>
      <c r="T204" s="2">
        <v>7.6</v>
      </c>
      <c r="U204" s="13">
        <v>39381</v>
      </c>
      <c r="V204" s="1">
        <v>32136.76</v>
      </c>
      <c r="X204" s="7">
        <f t="shared" si="13"/>
        <v>39381</v>
      </c>
      <c r="Y204" s="11">
        <f t="shared" si="14"/>
        <v>223.52941176470588</v>
      </c>
      <c r="Z204" s="11">
        <f t="shared" si="15"/>
        <v>364.43714639852357</v>
      </c>
    </row>
    <row r="205" spans="18:26">
      <c r="R205">
        <f t="shared" si="16"/>
        <v>2007</v>
      </c>
      <c r="S205" s="10">
        <v>39388</v>
      </c>
      <c r="T205" s="2">
        <v>7.01</v>
      </c>
      <c r="U205" s="13">
        <v>39388</v>
      </c>
      <c r="V205" s="1">
        <v>30806.3</v>
      </c>
      <c r="X205" s="7">
        <f t="shared" si="13"/>
        <v>39388</v>
      </c>
      <c r="Y205" s="11">
        <f t="shared" si="14"/>
        <v>206.1764705882353</v>
      </c>
      <c r="Z205" s="11">
        <f t="shared" si="15"/>
        <v>349.34946967574939</v>
      </c>
    </row>
    <row r="206" spans="18:26">
      <c r="R206">
        <f t="shared" si="16"/>
        <v>2007</v>
      </c>
      <c r="S206" s="10">
        <v>39395</v>
      </c>
      <c r="T206" s="2">
        <v>6.74</v>
      </c>
      <c r="U206" s="13">
        <v>39395</v>
      </c>
      <c r="V206" s="1">
        <v>29158.86</v>
      </c>
      <c r="X206" s="7">
        <f t="shared" si="13"/>
        <v>39395</v>
      </c>
      <c r="Y206" s="11">
        <f t="shared" si="14"/>
        <v>198.2352941176471</v>
      </c>
      <c r="Z206" s="11">
        <f t="shared" si="15"/>
        <v>330.66717773148423</v>
      </c>
    </row>
    <row r="207" spans="18:26">
      <c r="R207">
        <f t="shared" si="16"/>
        <v>2007</v>
      </c>
      <c r="S207" s="10">
        <v>39402</v>
      </c>
      <c r="T207" s="2">
        <v>6.71</v>
      </c>
      <c r="U207" s="13">
        <v>39402</v>
      </c>
      <c r="V207" s="1">
        <v>29631.57</v>
      </c>
      <c r="X207" s="7">
        <f t="shared" si="13"/>
        <v>39402</v>
      </c>
      <c r="Y207" s="11">
        <f t="shared" si="14"/>
        <v>197.35294117647064</v>
      </c>
      <c r="Z207" s="11">
        <f t="shared" si="15"/>
        <v>336.02780162368884</v>
      </c>
    </row>
    <row r="208" spans="18:26">
      <c r="R208">
        <f t="shared" si="16"/>
        <v>2007</v>
      </c>
      <c r="S208" s="10">
        <v>39409</v>
      </c>
      <c r="T208" s="2">
        <v>6.74</v>
      </c>
      <c r="U208" s="13">
        <v>39409</v>
      </c>
      <c r="V208" s="1">
        <v>28710.87</v>
      </c>
      <c r="X208" s="7">
        <f t="shared" si="13"/>
        <v>39409</v>
      </c>
      <c r="Y208" s="11">
        <f t="shared" si="14"/>
        <v>198.2352941176471</v>
      </c>
      <c r="Z208" s="11">
        <f t="shared" si="15"/>
        <v>325.58688347608711</v>
      </c>
    </row>
    <row r="209" spans="18:26">
      <c r="R209">
        <f t="shared" si="16"/>
        <v>2007</v>
      </c>
      <c r="S209" s="10">
        <v>39416</v>
      </c>
      <c r="T209" s="2">
        <v>6.91</v>
      </c>
      <c r="U209" s="13">
        <v>39416</v>
      </c>
      <c r="V209" s="1">
        <v>29770.52</v>
      </c>
      <c r="X209" s="7">
        <f t="shared" si="13"/>
        <v>39416</v>
      </c>
      <c r="Y209" s="11">
        <f t="shared" si="14"/>
        <v>203.2352941176471</v>
      </c>
      <c r="Z209" s="11">
        <f t="shared" si="15"/>
        <v>337.60352181116497</v>
      </c>
    </row>
    <row r="210" spans="18:26">
      <c r="R210">
        <f t="shared" si="16"/>
        <v>2007</v>
      </c>
      <c r="S210" s="10">
        <v>39423</v>
      </c>
      <c r="T210" s="2">
        <v>7.37</v>
      </c>
      <c r="U210" s="13">
        <v>39423</v>
      </c>
      <c r="V210" s="1">
        <v>31268.36</v>
      </c>
      <c r="X210" s="7">
        <f t="shared" si="13"/>
        <v>39423</v>
      </c>
      <c r="Y210" s="11">
        <f t="shared" si="14"/>
        <v>216.76470588235298</v>
      </c>
      <c r="Z210" s="11">
        <f t="shared" si="15"/>
        <v>354.58932048413521</v>
      </c>
    </row>
    <row r="211" spans="18:26">
      <c r="R211">
        <f t="shared" si="16"/>
        <v>2007</v>
      </c>
      <c r="S211" s="10">
        <v>39430</v>
      </c>
      <c r="T211" s="2">
        <v>6.85</v>
      </c>
      <c r="U211" s="13">
        <v>39430</v>
      </c>
      <c r="V211" s="1">
        <v>29994.9</v>
      </c>
      <c r="X211" s="7">
        <f t="shared" si="13"/>
        <v>39430</v>
      </c>
      <c r="Y211" s="11">
        <f t="shared" si="14"/>
        <v>201.47058823529414</v>
      </c>
      <c r="Z211" s="11">
        <f t="shared" si="15"/>
        <v>340.14803491419406</v>
      </c>
    </row>
    <row r="212" spans="18:26">
      <c r="R212">
        <f t="shared" si="16"/>
        <v>2007</v>
      </c>
      <c r="S212" s="10">
        <v>39437</v>
      </c>
      <c r="T212" s="2">
        <v>7.43</v>
      </c>
      <c r="U212" s="13">
        <v>39437</v>
      </c>
      <c r="V212" s="1">
        <v>29638.400000000001</v>
      </c>
      <c r="X212" s="7">
        <f t="shared" si="13"/>
        <v>39437</v>
      </c>
      <c r="Y212" s="11">
        <f t="shared" si="14"/>
        <v>218.52941176470591</v>
      </c>
      <c r="Z212" s="11">
        <f t="shared" si="15"/>
        <v>336.10525516007215</v>
      </c>
    </row>
    <row r="213" spans="18:26">
      <c r="R213">
        <f t="shared" si="16"/>
        <v>2007</v>
      </c>
      <c r="S213" s="10">
        <v>39444</v>
      </c>
      <c r="T213" s="2">
        <v>7.39</v>
      </c>
      <c r="U213" s="13">
        <v>39444</v>
      </c>
      <c r="V213" s="1">
        <v>29700.19</v>
      </c>
      <c r="X213" s="7">
        <f t="shared" si="13"/>
        <v>39444</v>
      </c>
      <c r="Y213" s="11">
        <f t="shared" si="14"/>
        <v>217.35294117647064</v>
      </c>
      <c r="Z213" s="11">
        <f t="shared" si="15"/>
        <v>336.80596585013438</v>
      </c>
    </row>
    <row r="214" spans="18:26">
      <c r="R214">
        <f t="shared" si="16"/>
        <v>2008</v>
      </c>
      <c r="S214" s="10">
        <v>39451</v>
      </c>
      <c r="T214" s="2">
        <v>6.7</v>
      </c>
      <c r="U214" s="13">
        <v>39451</v>
      </c>
      <c r="V214" s="1">
        <v>28317.919999999998</v>
      </c>
      <c r="X214" s="7">
        <f t="shared" si="13"/>
        <v>39451</v>
      </c>
      <c r="Y214" s="11">
        <f t="shared" si="14"/>
        <v>197.05882352941182</v>
      </c>
      <c r="Z214" s="11">
        <f t="shared" si="15"/>
        <v>321.1307535900221</v>
      </c>
    </row>
    <row r="215" spans="18:26">
      <c r="R215">
        <f t="shared" si="16"/>
        <v>2008</v>
      </c>
      <c r="S215" s="10">
        <v>39458</v>
      </c>
      <c r="T215" s="2">
        <v>7.01</v>
      </c>
      <c r="U215" s="13">
        <v>39458</v>
      </c>
      <c r="V215" s="1">
        <v>28723.82</v>
      </c>
      <c r="X215" s="7">
        <f t="shared" si="13"/>
        <v>39458</v>
      </c>
      <c r="Y215" s="11">
        <f t="shared" si="14"/>
        <v>206.17647058823536</v>
      </c>
      <c r="Z215" s="11">
        <f t="shared" si="15"/>
        <v>325.73373900993255</v>
      </c>
    </row>
    <row r="216" spans="18:26">
      <c r="R216">
        <f t="shared" si="16"/>
        <v>2008</v>
      </c>
      <c r="S216" s="10">
        <v>39465</v>
      </c>
      <c r="T216" s="2">
        <v>6.63</v>
      </c>
      <c r="U216" s="13">
        <v>39465</v>
      </c>
      <c r="V216" s="1">
        <v>26713.83</v>
      </c>
      <c r="X216" s="7">
        <f t="shared" si="13"/>
        <v>39465</v>
      </c>
      <c r="Y216" s="11">
        <f t="shared" si="14"/>
        <v>195.00000000000006</v>
      </c>
      <c r="Z216" s="11">
        <f t="shared" si="15"/>
        <v>302.94005912777988</v>
      </c>
    </row>
    <row r="217" spans="18:26">
      <c r="R217">
        <f t="shared" si="16"/>
        <v>2008</v>
      </c>
      <c r="S217" s="10">
        <v>39472</v>
      </c>
      <c r="T217" s="2">
        <v>6.84</v>
      </c>
      <c r="U217" s="13">
        <v>39472</v>
      </c>
      <c r="V217" s="1">
        <v>27379.919999999998</v>
      </c>
      <c r="X217" s="7">
        <f t="shared" si="13"/>
        <v>39472</v>
      </c>
      <c r="Y217" s="11">
        <f t="shared" si="14"/>
        <v>201.17647058823533</v>
      </c>
      <c r="Z217" s="11">
        <f t="shared" si="15"/>
        <v>310.49365005743772</v>
      </c>
    </row>
    <row r="218" spans="18:26">
      <c r="R218">
        <f t="shared" si="16"/>
        <v>2008</v>
      </c>
      <c r="S218" s="10">
        <v>39479</v>
      </c>
      <c r="T218" s="2">
        <v>6.82</v>
      </c>
      <c r="U218" s="13">
        <v>39479</v>
      </c>
      <c r="V218" s="1">
        <v>29429.93</v>
      </c>
      <c r="X218" s="7">
        <f t="shared" si="13"/>
        <v>39479</v>
      </c>
      <c r="Y218" s="11">
        <f t="shared" si="14"/>
        <v>200.58823529411768</v>
      </c>
      <c r="Z218" s="11">
        <f t="shared" si="15"/>
        <v>333.74116457005312</v>
      </c>
    </row>
    <row r="219" spans="18:26">
      <c r="R219">
        <f t="shared" si="16"/>
        <v>2008</v>
      </c>
      <c r="S219" s="10">
        <v>39486</v>
      </c>
      <c r="T219" s="2">
        <v>6.69</v>
      </c>
      <c r="U219" s="13">
        <v>39486</v>
      </c>
      <c r="V219" s="1">
        <v>28185.26</v>
      </c>
      <c r="X219" s="7">
        <f t="shared" si="13"/>
        <v>39486</v>
      </c>
      <c r="Y219" s="11">
        <f t="shared" si="14"/>
        <v>196.76470588235298</v>
      </c>
      <c r="Z219" s="11">
        <f t="shared" si="15"/>
        <v>319.62636323327087</v>
      </c>
    </row>
    <row r="220" spans="18:26">
      <c r="R220">
        <f t="shared" si="16"/>
        <v>2008</v>
      </c>
      <c r="S220" s="10">
        <v>39493</v>
      </c>
      <c r="T220" s="2">
        <v>6.88</v>
      </c>
      <c r="U220" s="13">
        <v>39493</v>
      </c>
      <c r="V220" s="1">
        <v>28744.81</v>
      </c>
      <c r="X220" s="7">
        <f t="shared" si="13"/>
        <v>39493</v>
      </c>
      <c r="Y220" s="11">
        <f t="shared" si="14"/>
        <v>202.35294117647061</v>
      </c>
      <c r="Z220" s="11">
        <f t="shared" si="15"/>
        <v>325.97176971691431</v>
      </c>
    </row>
    <row r="221" spans="18:26">
      <c r="R221">
        <f t="shared" si="16"/>
        <v>2008</v>
      </c>
      <c r="S221" s="10">
        <v>39500</v>
      </c>
      <c r="T221" s="2">
        <v>7</v>
      </c>
      <c r="U221" s="13">
        <v>39500</v>
      </c>
      <c r="V221" s="1">
        <v>29528.79</v>
      </c>
      <c r="X221" s="7">
        <f t="shared" si="13"/>
        <v>39500</v>
      </c>
      <c r="Y221" s="11">
        <f t="shared" si="14"/>
        <v>205.88235294117649</v>
      </c>
      <c r="Z221" s="11">
        <f t="shared" si="15"/>
        <v>334.86225631337004</v>
      </c>
    </row>
    <row r="222" spans="18:26">
      <c r="R222">
        <f t="shared" si="16"/>
        <v>2008</v>
      </c>
      <c r="S222" s="10">
        <v>39507</v>
      </c>
      <c r="T222" s="2">
        <v>6.87</v>
      </c>
      <c r="U222" s="13">
        <v>39507</v>
      </c>
      <c r="V222" s="1">
        <v>28918.52</v>
      </c>
      <c r="X222" s="7">
        <f t="shared" si="13"/>
        <v>39507</v>
      </c>
      <c r="Y222" s="11">
        <f t="shared" si="14"/>
        <v>202.0588235294118</v>
      </c>
      <c r="Z222" s="11">
        <f t="shared" si="15"/>
        <v>327.94167510566189</v>
      </c>
    </row>
    <row r="223" spans="18:26">
      <c r="R223">
        <f t="shared" si="16"/>
        <v>2008</v>
      </c>
      <c r="S223" s="10">
        <v>39514</v>
      </c>
      <c r="T223" s="2">
        <v>6.94</v>
      </c>
      <c r="U223" s="13">
        <v>39514</v>
      </c>
      <c r="V223" s="1">
        <v>28612.75</v>
      </c>
      <c r="X223" s="7">
        <f t="shared" si="13"/>
        <v>39514</v>
      </c>
      <c r="Y223" s="11">
        <f t="shared" si="14"/>
        <v>204.11764705882356</v>
      </c>
      <c r="Z223" s="11">
        <f t="shared" si="15"/>
        <v>324.47418347756133</v>
      </c>
    </row>
    <row r="224" spans="18:26">
      <c r="R224">
        <f t="shared" si="16"/>
        <v>2008</v>
      </c>
      <c r="S224" s="10">
        <v>39521</v>
      </c>
      <c r="T224" s="2">
        <v>7.06</v>
      </c>
      <c r="U224" s="13">
        <v>39521</v>
      </c>
      <c r="V224" s="1">
        <v>29048.51</v>
      </c>
      <c r="X224" s="7">
        <f t="shared" si="13"/>
        <v>39521</v>
      </c>
      <c r="Y224" s="11">
        <f t="shared" si="14"/>
        <v>207.64705882352942</v>
      </c>
      <c r="Z224" s="11">
        <f t="shared" si="15"/>
        <v>329.41578713999087</v>
      </c>
    </row>
    <row r="225" spans="18:26">
      <c r="R225">
        <f t="shared" si="16"/>
        <v>2008</v>
      </c>
      <c r="S225" s="10">
        <v>39528</v>
      </c>
      <c r="T225" s="2">
        <v>7.11</v>
      </c>
      <c r="U225" s="13">
        <v>39528</v>
      </c>
      <c r="V225" s="1">
        <v>29071.34</v>
      </c>
      <c r="X225" s="7">
        <f t="shared" si="13"/>
        <v>39528</v>
      </c>
      <c r="Y225" s="11">
        <f t="shared" si="14"/>
        <v>209.11764705882356</v>
      </c>
      <c r="Z225" s="11">
        <f t="shared" si="15"/>
        <v>329.67468380699398</v>
      </c>
    </row>
    <row r="226" spans="18:26">
      <c r="R226">
        <f t="shared" si="16"/>
        <v>2008</v>
      </c>
      <c r="S226" s="10">
        <v>39535</v>
      </c>
      <c r="T226" s="2">
        <v>7.22</v>
      </c>
      <c r="U226" s="13">
        <v>39535</v>
      </c>
      <c r="V226" s="1">
        <v>30089.9</v>
      </c>
      <c r="X226" s="7">
        <f t="shared" si="13"/>
        <v>39535</v>
      </c>
      <c r="Y226" s="11">
        <f t="shared" si="14"/>
        <v>212.35294117647061</v>
      </c>
      <c r="Z226" s="11">
        <f t="shared" si="15"/>
        <v>341.22535350224894</v>
      </c>
    </row>
    <row r="227" spans="18:26">
      <c r="R227">
        <f t="shared" si="16"/>
        <v>2008</v>
      </c>
      <c r="S227" s="10">
        <v>39542</v>
      </c>
      <c r="T227" s="2">
        <v>7.69</v>
      </c>
      <c r="U227" s="13">
        <v>39542</v>
      </c>
      <c r="V227" s="1">
        <v>31545.37</v>
      </c>
      <c r="X227" s="7">
        <f t="shared" si="13"/>
        <v>39542</v>
      </c>
      <c r="Y227" s="11">
        <f t="shared" si="14"/>
        <v>226.17647058823536</v>
      </c>
      <c r="Z227" s="11">
        <f t="shared" si="15"/>
        <v>357.73066808494667</v>
      </c>
    </row>
    <row r="228" spans="18:26">
      <c r="R228">
        <f t="shared" si="16"/>
        <v>2008</v>
      </c>
      <c r="S228" s="10">
        <v>39549</v>
      </c>
      <c r="T228" s="2">
        <v>7.74</v>
      </c>
      <c r="U228" s="13">
        <v>39549</v>
      </c>
      <c r="V228" s="1">
        <v>31302.57</v>
      </c>
      <c r="X228" s="7">
        <f t="shared" si="13"/>
        <v>39549</v>
      </c>
      <c r="Y228" s="11">
        <f t="shared" si="14"/>
        <v>227.64705882352948</v>
      </c>
      <c r="Z228" s="11">
        <f t="shared" si="15"/>
        <v>354.97726857779156</v>
      </c>
    </row>
    <row r="229" spans="18:26">
      <c r="R229">
        <f t="shared" si="16"/>
        <v>2008</v>
      </c>
      <c r="S229" s="10">
        <v>39556</v>
      </c>
      <c r="T229" s="2">
        <v>7.81</v>
      </c>
      <c r="U229" s="13">
        <v>39556</v>
      </c>
      <c r="V229" s="1">
        <v>31795.68</v>
      </c>
      <c r="X229" s="7">
        <f t="shared" si="13"/>
        <v>39556</v>
      </c>
      <c r="Y229" s="11">
        <f t="shared" si="14"/>
        <v>229.70588235294122</v>
      </c>
      <c r="Z229" s="11">
        <f t="shared" si="15"/>
        <v>360.56923246153644</v>
      </c>
    </row>
    <row r="230" spans="18:26">
      <c r="R230">
        <f t="shared" si="16"/>
        <v>2008</v>
      </c>
      <c r="S230" s="10">
        <v>39563</v>
      </c>
      <c r="T230" s="2">
        <v>7.87</v>
      </c>
      <c r="U230" s="13">
        <v>39563</v>
      </c>
      <c r="V230" s="1">
        <v>31009.02</v>
      </c>
      <c r="X230" s="7">
        <f t="shared" si="13"/>
        <v>39563</v>
      </c>
      <c r="Y230" s="11">
        <f t="shared" si="14"/>
        <v>231.4705882352942</v>
      </c>
      <c r="Z230" s="11">
        <f t="shared" si="15"/>
        <v>351.64835414070194</v>
      </c>
    </row>
    <row r="231" spans="18:26">
      <c r="R231">
        <f t="shared" si="16"/>
        <v>2008</v>
      </c>
      <c r="S231" s="10">
        <v>39570</v>
      </c>
      <c r="T231" s="2">
        <v>7.87</v>
      </c>
      <c r="U231" s="13">
        <v>39570</v>
      </c>
      <c r="V231" s="1">
        <v>30551.47</v>
      </c>
      <c r="X231" s="7">
        <f t="shared" si="13"/>
        <v>39570</v>
      </c>
      <c r="Y231" s="11">
        <f t="shared" si="14"/>
        <v>231.4705882352942</v>
      </c>
      <c r="Z231" s="11">
        <f t="shared" si="15"/>
        <v>346.45964761475955</v>
      </c>
    </row>
    <row r="232" spans="18:26">
      <c r="R232">
        <f t="shared" si="16"/>
        <v>2008</v>
      </c>
      <c r="S232" s="10">
        <v>39577</v>
      </c>
      <c r="T232" s="2">
        <v>7.82</v>
      </c>
      <c r="U232" s="13">
        <v>39577</v>
      </c>
      <c r="V232" s="1">
        <v>30674.36</v>
      </c>
      <c r="X232" s="7">
        <f t="shared" si="13"/>
        <v>39577</v>
      </c>
      <c r="Y232" s="11">
        <f t="shared" si="14"/>
        <v>230.00000000000009</v>
      </c>
      <c r="Z232" s="11">
        <f t="shared" si="15"/>
        <v>347.85324425987608</v>
      </c>
    </row>
    <row r="233" spans="18:26">
      <c r="R233">
        <f t="shared" si="16"/>
        <v>2008</v>
      </c>
      <c r="S233" s="10">
        <v>39584</v>
      </c>
      <c r="T233" s="2">
        <v>7.82</v>
      </c>
      <c r="U233" s="13">
        <v>39584</v>
      </c>
      <c r="V233" s="1">
        <v>31486.95</v>
      </c>
      <c r="X233" s="7">
        <f t="shared" si="13"/>
        <v>39584</v>
      </c>
      <c r="Y233" s="11">
        <f t="shared" si="14"/>
        <v>230.00000000000009</v>
      </c>
      <c r="Z233" s="11">
        <f t="shared" si="15"/>
        <v>357.06817385427132</v>
      </c>
    </row>
    <row r="234" spans="18:26">
      <c r="R234">
        <f t="shared" si="16"/>
        <v>2008</v>
      </c>
      <c r="S234" s="10">
        <v>39591</v>
      </c>
      <c r="T234" s="2">
        <v>7.67</v>
      </c>
      <c r="U234" s="13">
        <v>39591</v>
      </c>
      <c r="V234" s="1">
        <v>31068.7</v>
      </c>
      <c r="X234" s="7">
        <f t="shared" si="13"/>
        <v>39591</v>
      </c>
      <c r="Y234" s="11">
        <f t="shared" si="14"/>
        <v>225.58823529411771</v>
      </c>
      <c r="Z234" s="11">
        <f t="shared" si="15"/>
        <v>352.32513701791373</v>
      </c>
    </row>
    <row r="235" spans="18:26">
      <c r="R235">
        <f t="shared" si="16"/>
        <v>2008</v>
      </c>
      <c r="S235" s="10">
        <v>39598</v>
      </c>
      <c r="T235" s="2">
        <v>7.64</v>
      </c>
      <c r="U235" s="13">
        <v>39598</v>
      </c>
      <c r="V235" s="1">
        <v>31975.47</v>
      </c>
      <c r="X235" s="7">
        <f t="shared" si="13"/>
        <v>39598</v>
      </c>
      <c r="Y235" s="11">
        <f t="shared" si="14"/>
        <v>224.70588235294125</v>
      </c>
      <c r="Z235" s="11">
        <f t="shared" si="15"/>
        <v>362.60808623991954</v>
      </c>
    </row>
    <row r="236" spans="18:26">
      <c r="R236">
        <f t="shared" si="16"/>
        <v>2008</v>
      </c>
      <c r="S236" s="10">
        <v>39605</v>
      </c>
      <c r="T236" s="2">
        <v>7.51</v>
      </c>
      <c r="U236" s="13">
        <v>39605</v>
      </c>
      <c r="V236" s="1">
        <v>31149.06</v>
      </c>
      <c r="X236" s="7">
        <f t="shared" si="13"/>
        <v>39605</v>
      </c>
      <c r="Y236" s="11">
        <f t="shared" si="14"/>
        <v>220.88235294117655</v>
      </c>
      <c r="Z236" s="11">
        <f t="shared" si="15"/>
        <v>353.23643514145152</v>
      </c>
    </row>
    <row r="237" spans="18:26">
      <c r="R237">
        <f t="shared" si="16"/>
        <v>2008</v>
      </c>
      <c r="S237" s="10">
        <v>39612</v>
      </c>
      <c r="T237" s="2">
        <v>7.11</v>
      </c>
      <c r="U237" s="13">
        <v>39612</v>
      </c>
      <c r="V237" s="1">
        <v>30413.48</v>
      </c>
      <c r="X237" s="7">
        <f t="shared" si="13"/>
        <v>39612</v>
      </c>
      <c r="Y237" s="11">
        <f t="shared" si="14"/>
        <v>209.11764705882362</v>
      </c>
      <c r="Z237" s="11">
        <f t="shared" si="15"/>
        <v>344.89481401512063</v>
      </c>
    </row>
    <row r="238" spans="18:26">
      <c r="R238">
        <f t="shared" si="16"/>
        <v>2008</v>
      </c>
      <c r="S238" s="10">
        <v>39619</v>
      </c>
      <c r="T238" s="2">
        <v>6.78</v>
      </c>
      <c r="U238" s="13">
        <v>39619</v>
      </c>
      <c r="V238" s="1">
        <v>29533.439999999999</v>
      </c>
      <c r="X238" s="7">
        <f t="shared" si="13"/>
        <v>39619</v>
      </c>
      <c r="Y238" s="11">
        <f t="shared" si="14"/>
        <v>199.41176470588243</v>
      </c>
      <c r="Z238" s="11">
        <f t="shared" si="15"/>
        <v>334.91498822320642</v>
      </c>
    </row>
    <row r="239" spans="18:26">
      <c r="R239">
        <f t="shared" si="16"/>
        <v>2008</v>
      </c>
      <c r="S239" s="10">
        <v>39626</v>
      </c>
      <c r="T239" s="2">
        <v>6.74</v>
      </c>
      <c r="U239" s="13">
        <v>39626</v>
      </c>
      <c r="V239" s="1">
        <v>29295</v>
      </c>
      <c r="X239" s="7">
        <f t="shared" si="13"/>
        <v>39626</v>
      </c>
      <c r="Y239" s="11">
        <f t="shared" si="14"/>
        <v>198.23529411764716</v>
      </c>
      <c r="Z239" s="11">
        <f t="shared" si="15"/>
        <v>332.21103196914521</v>
      </c>
    </row>
    <row r="240" spans="18:26">
      <c r="R240">
        <f t="shared" si="16"/>
        <v>2008</v>
      </c>
      <c r="S240" s="10">
        <v>39633</v>
      </c>
      <c r="T240" s="2">
        <v>6.34</v>
      </c>
      <c r="U240" s="13">
        <v>39633</v>
      </c>
      <c r="V240" s="1">
        <v>28338.12</v>
      </c>
      <c r="X240" s="7">
        <f t="shared" si="13"/>
        <v>39633</v>
      </c>
      <c r="Y240" s="11">
        <f t="shared" si="14"/>
        <v>186.4705882352942</v>
      </c>
      <c r="Z240" s="11">
        <f t="shared" si="15"/>
        <v>321.35982554242952</v>
      </c>
    </row>
    <row r="241" spans="18:26">
      <c r="R241">
        <f t="shared" si="16"/>
        <v>2008</v>
      </c>
      <c r="S241" s="10">
        <v>39640</v>
      </c>
      <c r="T241" s="2">
        <v>5.93</v>
      </c>
      <c r="U241" s="13">
        <v>39640</v>
      </c>
      <c r="V241" s="1">
        <v>27614.54</v>
      </c>
      <c r="X241" s="7">
        <f t="shared" si="13"/>
        <v>39640</v>
      </c>
      <c r="Y241" s="11">
        <f t="shared" si="14"/>
        <v>174.41176470588243</v>
      </c>
      <c r="Z241" s="11">
        <f t="shared" si="15"/>
        <v>313.1542867640635</v>
      </c>
    </row>
    <row r="242" spans="18:26">
      <c r="R242">
        <f t="shared" si="16"/>
        <v>2008</v>
      </c>
      <c r="S242" s="10">
        <v>39647</v>
      </c>
      <c r="T242" s="2">
        <v>6.29</v>
      </c>
      <c r="U242" s="13">
        <v>39647</v>
      </c>
      <c r="V242" s="1">
        <v>28169.77</v>
      </c>
      <c r="X242" s="7">
        <f t="shared" si="13"/>
        <v>39647</v>
      </c>
      <c r="Y242" s="11">
        <f t="shared" si="14"/>
        <v>185.00000000000009</v>
      </c>
      <c r="Z242" s="11">
        <f t="shared" si="15"/>
        <v>319.4507036024396</v>
      </c>
    </row>
    <row r="243" spans="18:26">
      <c r="R243">
        <f t="shared" si="16"/>
        <v>2008</v>
      </c>
      <c r="S243" s="10">
        <v>39654</v>
      </c>
      <c r="T243" s="2">
        <v>6.51</v>
      </c>
      <c r="U243" s="13">
        <v>39654</v>
      </c>
      <c r="V243" s="1">
        <v>27084.77</v>
      </c>
      <c r="X243" s="7">
        <f t="shared" si="13"/>
        <v>39654</v>
      </c>
      <c r="Y243" s="11">
        <f t="shared" si="14"/>
        <v>191.47058823529417</v>
      </c>
      <c r="Z243" s="11">
        <f t="shared" si="15"/>
        <v>307.14659130728609</v>
      </c>
    </row>
    <row r="244" spans="18:26">
      <c r="R244">
        <f t="shared" si="16"/>
        <v>2008</v>
      </c>
      <c r="S244" s="10">
        <v>39661</v>
      </c>
      <c r="T244" s="2">
        <v>6.91</v>
      </c>
      <c r="U244" s="13">
        <v>39661</v>
      </c>
      <c r="V244" s="1">
        <v>26959.18</v>
      </c>
      <c r="X244" s="7">
        <f t="shared" si="13"/>
        <v>39661</v>
      </c>
      <c r="Y244" s="11">
        <f t="shared" si="14"/>
        <v>203.23529411764713</v>
      </c>
      <c r="Z244" s="11">
        <f t="shared" si="15"/>
        <v>305.72237613387745</v>
      </c>
    </row>
    <row r="245" spans="18:26">
      <c r="R245">
        <f t="shared" si="16"/>
        <v>2008</v>
      </c>
      <c r="S245" s="10">
        <v>39668</v>
      </c>
      <c r="T245" s="2">
        <v>7.01</v>
      </c>
      <c r="U245" s="13">
        <v>39668</v>
      </c>
      <c r="V245" s="1">
        <v>27132.79</v>
      </c>
      <c r="X245" s="7">
        <f t="shared" si="13"/>
        <v>39668</v>
      </c>
      <c r="Y245" s="11">
        <f t="shared" si="14"/>
        <v>206.17647058823536</v>
      </c>
      <c r="Z245" s="11">
        <f t="shared" si="15"/>
        <v>307.69114750305863</v>
      </c>
    </row>
    <row r="246" spans="18:26">
      <c r="R246">
        <f t="shared" si="16"/>
        <v>2008</v>
      </c>
      <c r="S246" s="10">
        <v>39675</v>
      </c>
      <c r="T246" s="2">
        <v>6.81</v>
      </c>
      <c r="U246" s="13">
        <v>39675</v>
      </c>
      <c r="V246" s="1">
        <v>27340.83</v>
      </c>
      <c r="X246" s="7">
        <f t="shared" si="13"/>
        <v>39675</v>
      </c>
      <c r="Y246" s="11">
        <f t="shared" si="14"/>
        <v>200.2941176470589</v>
      </c>
      <c r="Z246" s="11">
        <f t="shared" si="15"/>
        <v>310.05036180894228</v>
      </c>
    </row>
    <row r="247" spans="18:26">
      <c r="R247">
        <f t="shared" si="16"/>
        <v>2008</v>
      </c>
      <c r="S247" s="10">
        <v>39682</v>
      </c>
      <c r="T247" s="2">
        <v>7.17</v>
      </c>
      <c r="U247" s="13">
        <v>39682</v>
      </c>
      <c r="V247" s="1">
        <v>26875.45</v>
      </c>
      <c r="X247" s="7">
        <f t="shared" si="13"/>
        <v>39682</v>
      </c>
      <c r="Y247" s="11">
        <f t="shared" si="14"/>
        <v>210.88235294117655</v>
      </c>
      <c r="Z247" s="11">
        <f t="shared" si="15"/>
        <v>304.77286155095283</v>
      </c>
    </row>
    <row r="248" spans="18:26">
      <c r="R248">
        <f t="shared" si="16"/>
        <v>2008</v>
      </c>
      <c r="S248" s="10">
        <v>39689</v>
      </c>
      <c r="T248" s="2">
        <v>7.25</v>
      </c>
      <c r="U248" s="13">
        <v>39689</v>
      </c>
      <c r="V248" s="1">
        <v>26290.99</v>
      </c>
      <c r="X248" s="7">
        <f t="shared" si="13"/>
        <v>39689</v>
      </c>
      <c r="Y248" s="11">
        <f t="shared" si="14"/>
        <v>213.23529411764716</v>
      </c>
      <c r="Z248" s="11">
        <f t="shared" si="15"/>
        <v>298.14497079332568</v>
      </c>
    </row>
    <row r="249" spans="18:26">
      <c r="R249">
        <f t="shared" si="16"/>
        <v>2008</v>
      </c>
      <c r="S249" s="10">
        <v>39696</v>
      </c>
      <c r="T249" s="2">
        <v>7.17</v>
      </c>
      <c r="U249" s="13">
        <v>39696</v>
      </c>
      <c r="V249" s="1">
        <v>25904.18</v>
      </c>
      <c r="X249" s="7">
        <f t="shared" si="13"/>
        <v>39696</v>
      </c>
      <c r="Y249" s="11">
        <f t="shared" si="14"/>
        <v>210.88235294117655</v>
      </c>
      <c r="Z249" s="11">
        <f t="shared" si="15"/>
        <v>293.75846970863597</v>
      </c>
    </row>
    <row r="250" spans="18:26">
      <c r="R250">
        <f t="shared" si="16"/>
        <v>2008</v>
      </c>
      <c r="S250" s="10">
        <v>39703</v>
      </c>
      <c r="T250" s="2">
        <v>7.21</v>
      </c>
      <c r="U250" s="13">
        <v>39703</v>
      </c>
      <c r="V250" s="1">
        <v>25588.41</v>
      </c>
      <c r="X250" s="7">
        <f t="shared" si="13"/>
        <v>39703</v>
      </c>
      <c r="Y250" s="11">
        <f t="shared" si="14"/>
        <v>212.05882352941185</v>
      </c>
      <c r="Z250" s="11">
        <f t="shared" si="15"/>
        <v>290.17757612389806</v>
      </c>
    </row>
    <row r="251" spans="18:26">
      <c r="R251">
        <f t="shared" si="16"/>
        <v>2008</v>
      </c>
      <c r="S251" s="10">
        <v>39710</v>
      </c>
      <c r="T251" s="2">
        <v>7.02</v>
      </c>
      <c r="U251" s="13">
        <v>39710</v>
      </c>
      <c r="V251" s="1">
        <v>25701.03</v>
      </c>
      <c r="X251" s="7">
        <f t="shared" si="13"/>
        <v>39710</v>
      </c>
      <c r="Y251" s="11">
        <f t="shared" si="14"/>
        <v>206.47058823529417</v>
      </c>
      <c r="Z251" s="11">
        <f t="shared" si="15"/>
        <v>291.45470895954799</v>
      </c>
    </row>
    <row r="252" spans="18:26">
      <c r="R252">
        <f t="shared" si="16"/>
        <v>2008</v>
      </c>
      <c r="S252" s="10">
        <v>39717</v>
      </c>
      <c r="T252" s="2">
        <v>7.41</v>
      </c>
      <c r="U252" s="13">
        <v>39717</v>
      </c>
      <c r="V252" s="1">
        <v>25593.77</v>
      </c>
      <c r="X252" s="7">
        <f t="shared" si="13"/>
        <v>39717</v>
      </c>
      <c r="Y252" s="11">
        <f t="shared" si="14"/>
        <v>217.94117647058829</v>
      </c>
      <c r="Z252" s="11">
        <f t="shared" si="15"/>
        <v>290.23835957265567</v>
      </c>
    </row>
    <row r="253" spans="18:26">
      <c r="R253">
        <f t="shared" si="16"/>
        <v>2008</v>
      </c>
      <c r="S253" s="10">
        <v>39724</v>
      </c>
      <c r="T253" s="2">
        <v>7.8</v>
      </c>
      <c r="U253" s="13">
        <v>39724</v>
      </c>
      <c r="V253" s="1">
        <v>22989.5</v>
      </c>
      <c r="X253" s="7">
        <f t="shared" si="13"/>
        <v>39724</v>
      </c>
      <c r="Y253" s="11">
        <f t="shared" si="14"/>
        <v>229.4117647058824</v>
      </c>
      <c r="Z253" s="11">
        <f t="shared" si="15"/>
        <v>260.70542821145796</v>
      </c>
    </row>
    <row r="254" spans="18:26">
      <c r="R254">
        <f t="shared" si="16"/>
        <v>2008</v>
      </c>
      <c r="S254" s="10">
        <v>39731</v>
      </c>
      <c r="T254" s="2">
        <v>5.85</v>
      </c>
      <c r="U254" s="13">
        <v>39731</v>
      </c>
      <c r="V254" s="1">
        <v>19905.27</v>
      </c>
      <c r="X254" s="7">
        <f t="shared" si="13"/>
        <v>39731</v>
      </c>
      <c r="Y254" s="11">
        <f t="shared" si="14"/>
        <v>172.0588235294118</v>
      </c>
      <c r="Z254" s="11">
        <f t="shared" si="15"/>
        <v>225.72965653949359</v>
      </c>
    </row>
    <row r="255" spans="18:26">
      <c r="R255">
        <f t="shared" si="16"/>
        <v>2008</v>
      </c>
      <c r="S255" s="10">
        <v>39738</v>
      </c>
      <c r="T255" s="2">
        <v>6.18</v>
      </c>
      <c r="U255" s="13">
        <v>39738</v>
      </c>
      <c r="V255" s="1">
        <v>20312.830000000002</v>
      </c>
      <c r="X255" s="7">
        <f t="shared" si="13"/>
        <v>39738</v>
      </c>
      <c r="Y255" s="11">
        <f t="shared" si="14"/>
        <v>181.76470588235298</v>
      </c>
      <c r="Z255" s="11">
        <f t="shared" si="15"/>
        <v>230.35146668420586</v>
      </c>
    </row>
    <row r="256" spans="18:26">
      <c r="R256">
        <f t="shared" si="16"/>
        <v>2008</v>
      </c>
      <c r="S256" s="10">
        <v>39745</v>
      </c>
      <c r="T256" s="2">
        <v>6.21</v>
      </c>
      <c r="U256" s="13">
        <v>39745</v>
      </c>
      <c r="V256" s="1">
        <v>16978.84</v>
      </c>
      <c r="X256" s="7">
        <f t="shared" si="13"/>
        <v>39745</v>
      </c>
      <c r="Y256" s="11">
        <f t="shared" si="14"/>
        <v>182.64705882352945</v>
      </c>
      <c r="Z256" s="11">
        <f t="shared" si="15"/>
        <v>192.54336774326677</v>
      </c>
    </row>
    <row r="257" spans="18:26">
      <c r="R257">
        <f t="shared" si="16"/>
        <v>2008</v>
      </c>
      <c r="S257" s="10">
        <v>39752</v>
      </c>
      <c r="T257" s="2">
        <v>6.96</v>
      </c>
      <c r="U257" s="13">
        <v>39752</v>
      </c>
      <c r="V257" s="1">
        <v>20445.32</v>
      </c>
      <c r="X257" s="7">
        <f t="shared" si="13"/>
        <v>39752</v>
      </c>
      <c r="Y257" s="11">
        <f t="shared" si="14"/>
        <v>204.70588235294125</v>
      </c>
      <c r="Z257" s="11">
        <f t="shared" si="15"/>
        <v>231.85392920769425</v>
      </c>
    </row>
    <row r="258" spans="18:26">
      <c r="R258">
        <f t="shared" si="16"/>
        <v>2008</v>
      </c>
      <c r="S258" s="10">
        <v>39759</v>
      </c>
      <c r="T258" s="2">
        <v>6.49</v>
      </c>
      <c r="U258" s="13">
        <v>39759</v>
      </c>
      <c r="V258" s="1">
        <v>19865.22</v>
      </c>
      <c r="X258" s="7">
        <f t="shared" si="13"/>
        <v>39759</v>
      </c>
      <c r="Y258" s="11">
        <f t="shared" si="14"/>
        <v>190.88235294117655</v>
      </c>
      <c r="Z258" s="11">
        <f t="shared" si="15"/>
        <v>225.27548170316103</v>
      </c>
    </row>
    <row r="259" spans="18:26">
      <c r="R259">
        <f t="shared" si="16"/>
        <v>2008</v>
      </c>
      <c r="S259" s="10">
        <v>39766</v>
      </c>
      <c r="T259" s="2">
        <v>7.15</v>
      </c>
      <c r="U259" s="13">
        <v>39766</v>
      </c>
      <c r="V259" s="1">
        <v>19562.14</v>
      </c>
      <c r="X259" s="7">
        <f t="shared" si="13"/>
        <v>39766</v>
      </c>
      <c r="Y259" s="11">
        <f t="shared" si="14"/>
        <v>210.2941176470589</v>
      </c>
      <c r="Z259" s="11">
        <f t="shared" si="15"/>
        <v>221.83849520139592</v>
      </c>
    </row>
    <row r="260" spans="18:26">
      <c r="R260">
        <f t="shared" si="16"/>
        <v>2008</v>
      </c>
      <c r="S260" s="10">
        <v>39773</v>
      </c>
      <c r="T260" s="2">
        <v>6.34</v>
      </c>
      <c r="U260" s="13">
        <v>39773</v>
      </c>
      <c r="V260" s="1">
        <v>18251.41</v>
      </c>
      <c r="X260" s="7">
        <f t="shared" si="13"/>
        <v>39773</v>
      </c>
      <c r="Y260" s="11">
        <f t="shared" si="14"/>
        <v>186.47058823529417</v>
      </c>
      <c r="Z260" s="11">
        <f t="shared" si="15"/>
        <v>206.97456053906726</v>
      </c>
    </row>
    <row r="261" spans="18:26">
      <c r="R261">
        <f t="shared" si="16"/>
        <v>2008</v>
      </c>
      <c r="S261" s="10">
        <v>39780</v>
      </c>
      <c r="T261" s="2">
        <v>6.82</v>
      </c>
      <c r="U261" s="13">
        <v>39780</v>
      </c>
      <c r="V261" s="1">
        <v>20534.72</v>
      </c>
      <c r="X261" s="7">
        <f t="shared" ref="X261:X324" si="17">+S261</f>
        <v>39780</v>
      </c>
      <c r="Y261" s="11">
        <f t="shared" si="14"/>
        <v>200.58823529411771</v>
      </c>
      <c r="Z261" s="11">
        <f t="shared" si="15"/>
        <v>232.86774270003221</v>
      </c>
    </row>
    <row r="262" spans="18:26">
      <c r="R262">
        <f t="shared" si="16"/>
        <v>2008</v>
      </c>
      <c r="S262" s="10">
        <v>39787</v>
      </c>
      <c r="T262" s="2">
        <v>6.63</v>
      </c>
      <c r="U262" s="13">
        <v>39787</v>
      </c>
      <c r="V262" s="1">
        <v>20081.830000000002</v>
      </c>
      <c r="X262" s="7">
        <f t="shared" si="17"/>
        <v>39787</v>
      </c>
      <c r="Y262" s="11">
        <f t="shared" ref="Y262:Y325" si="18">+Y261*(T262/T261)</f>
        <v>195.00000000000006</v>
      </c>
      <c r="Z262" s="11">
        <f t="shared" ref="Z262:Z325" si="19">+Z261*(V262/V261)</f>
        <v>227.73188148588284</v>
      </c>
    </row>
    <row r="263" spans="18:26">
      <c r="R263">
        <f t="shared" ref="R263:R326" si="20">+YEAR(S263)</f>
        <v>2008</v>
      </c>
      <c r="S263" s="10">
        <v>39794</v>
      </c>
      <c r="T263" s="2">
        <v>7.1</v>
      </c>
      <c r="U263" s="13">
        <v>39794</v>
      </c>
      <c r="V263" s="1">
        <v>21408.35</v>
      </c>
      <c r="X263" s="7">
        <f t="shared" si="17"/>
        <v>39794</v>
      </c>
      <c r="Y263" s="11">
        <f t="shared" si="18"/>
        <v>208.82352941176475</v>
      </c>
      <c r="Z263" s="11">
        <f t="shared" si="19"/>
        <v>242.77487783774183</v>
      </c>
    </row>
    <row r="264" spans="18:26">
      <c r="R264">
        <f t="shared" si="20"/>
        <v>2008</v>
      </c>
      <c r="S264" s="10">
        <v>39801</v>
      </c>
      <c r="T264" s="2">
        <v>6.98</v>
      </c>
      <c r="U264" s="13">
        <v>39801</v>
      </c>
      <c r="V264" s="1">
        <v>22221.64</v>
      </c>
      <c r="X264" s="7">
        <f t="shared" si="17"/>
        <v>39801</v>
      </c>
      <c r="Y264" s="11">
        <f t="shared" si="18"/>
        <v>205.2941176470589</v>
      </c>
      <c r="Z264" s="11">
        <f t="shared" si="19"/>
        <v>251.99774556910162</v>
      </c>
    </row>
    <row r="265" spans="18:26">
      <c r="R265">
        <f t="shared" si="20"/>
        <v>2008</v>
      </c>
      <c r="S265" s="10">
        <v>39808</v>
      </c>
      <c r="T265" s="2">
        <v>7.27</v>
      </c>
      <c r="U265" s="13">
        <v>39808</v>
      </c>
      <c r="V265" s="1">
        <v>22515.34</v>
      </c>
      <c r="X265" s="7">
        <f t="shared" si="17"/>
        <v>39808</v>
      </c>
      <c r="Y265" s="11">
        <f t="shared" si="18"/>
        <v>213.82352941176475</v>
      </c>
      <c r="Z265" s="11">
        <f t="shared" si="19"/>
        <v>255.32836103554089</v>
      </c>
    </row>
    <row r="266" spans="18:26">
      <c r="R266">
        <f t="shared" si="20"/>
        <v>2009</v>
      </c>
      <c r="S266" s="10">
        <v>39815</v>
      </c>
      <c r="T266" s="2">
        <v>7.92</v>
      </c>
      <c r="U266" s="13">
        <v>39815</v>
      </c>
      <c r="V266" s="1">
        <v>23250.959999999999</v>
      </c>
      <c r="X266" s="7">
        <f t="shared" si="17"/>
        <v>39815</v>
      </c>
      <c r="Y266" s="11">
        <f t="shared" si="18"/>
        <v>232.94117647058829</v>
      </c>
      <c r="Z266" s="11">
        <f t="shared" si="19"/>
        <v>263.67043576969837</v>
      </c>
    </row>
    <row r="267" spans="18:26">
      <c r="R267">
        <f t="shared" si="20"/>
        <v>2009</v>
      </c>
      <c r="S267" s="10">
        <v>39822</v>
      </c>
      <c r="T267" s="2">
        <v>7.39</v>
      </c>
      <c r="U267" s="13">
        <v>39822</v>
      </c>
      <c r="V267" s="1">
        <v>21741.29</v>
      </c>
      <c r="X267" s="7">
        <f t="shared" si="17"/>
        <v>39822</v>
      </c>
      <c r="Y267" s="11">
        <f t="shared" si="18"/>
        <v>217.35294117647064</v>
      </c>
      <c r="Z267" s="11">
        <f t="shared" si="19"/>
        <v>246.55048258202609</v>
      </c>
    </row>
    <row r="268" spans="18:26">
      <c r="R268">
        <f t="shared" si="20"/>
        <v>2009</v>
      </c>
      <c r="S268" s="10">
        <v>39829</v>
      </c>
      <c r="T268" s="2">
        <v>6.93</v>
      </c>
      <c r="U268" s="13">
        <v>39829</v>
      </c>
      <c r="V268" s="1">
        <v>20325.39</v>
      </c>
      <c r="X268" s="7">
        <f t="shared" si="17"/>
        <v>39829</v>
      </c>
      <c r="Y268" s="11">
        <f t="shared" si="18"/>
        <v>203.82352941176475</v>
      </c>
      <c r="Z268" s="11">
        <f t="shared" si="19"/>
        <v>230.49389954174231</v>
      </c>
    </row>
    <row r="269" spans="18:26">
      <c r="R269">
        <f t="shared" si="20"/>
        <v>2009</v>
      </c>
      <c r="S269" s="10">
        <v>39836</v>
      </c>
      <c r="T269" s="2">
        <v>7.27</v>
      </c>
      <c r="U269" s="13">
        <v>39836</v>
      </c>
      <c r="V269" s="1">
        <v>19348.810000000001</v>
      </c>
      <c r="X269" s="7">
        <f t="shared" si="17"/>
        <v>39836</v>
      </c>
      <c r="Y269" s="11">
        <f t="shared" si="18"/>
        <v>213.82352941176475</v>
      </c>
      <c r="Z269" s="11">
        <f t="shared" si="19"/>
        <v>219.41929126045108</v>
      </c>
    </row>
    <row r="270" spans="18:26">
      <c r="R270">
        <f t="shared" si="20"/>
        <v>2009</v>
      </c>
      <c r="S270" s="10">
        <v>39843</v>
      </c>
      <c r="T270" s="2">
        <v>7.66</v>
      </c>
      <c r="U270" s="13">
        <v>39843</v>
      </c>
      <c r="V270" s="1">
        <v>19565.14</v>
      </c>
      <c r="X270" s="7">
        <f t="shared" si="17"/>
        <v>39843</v>
      </c>
      <c r="Y270" s="11">
        <f t="shared" si="18"/>
        <v>225.29411764705887</v>
      </c>
      <c r="Z270" s="11">
        <f t="shared" si="19"/>
        <v>221.87251578838706</v>
      </c>
    </row>
    <row r="271" spans="18:26">
      <c r="R271">
        <f t="shared" si="20"/>
        <v>2009</v>
      </c>
      <c r="S271" s="10">
        <v>39850</v>
      </c>
      <c r="T271" s="2">
        <v>7.95</v>
      </c>
      <c r="U271" s="13">
        <v>39850</v>
      </c>
      <c r="V271" s="1">
        <v>20438.13</v>
      </c>
      <c r="X271" s="7">
        <f t="shared" si="17"/>
        <v>39850</v>
      </c>
      <c r="Y271" s="11">
        <f t="shared" si="18"/>
        <v>233.82352941176475</v>
      </c>
      <c r="Z271" s="11">
        <f t="shared" si="19"/>
        <v>231.7723932008719</v>
      </c>
    </row>
    <row r="272" spans="18:26">
      <c r="R272">
        <f t="shared" si="20"/>
        <v>2009</v>
      </c>
      <c r="S272" s="10">
        <v>39857</v>
      </c>
      <c r="T272" s="2">
        <v>7.82</v>
      </c>
      <c r="U272" s="13">
        <v>39857</v>
      </c>
      <c r="V272" s="1">
        <v>19368.099999999999</v>
      </c>
      <c r="X272" s="7">
        <f t="shared" si="17"/>
        <v>39857</v>
      </c>
      <c r="Y272" s="11">
        <f t="shared" si="18"/>
        <v>230.00000000000006</v>
      </c>
      <c r="Z272" s="11">
        <f t="shared" si="19"/>
        <v>219.63804363480449</v>
      </c>
    </row>
    <row r="273" spans="18:26">
      <c r="R273">
        <f t="shared" si="20"/>
        <v>2009</v>
      </c>
      <c r="S273" s="10">
        <v>39864</v>
      </c>
      <c r="T273" s="2">
        <v>7.73</v>
      </c>
      <c r="U273" s="13">
        <v>39864</v>
      </c>
      <c r="V273" s="1">
        <v>18324.23</v>
      </c>
      <c r="X273" s="7">
        <f t="shared" si="17"/>
        <v>39864</v>
      </c>
      <c r="Y273" s="11">
        <f t="shared" si="18"/>
        <v>227.35294117647064</v>
      </c>
      <c r="Z273" s="11">
        <f t="shared" si="19"/>
        <v>207.80035358730044</v>
      </c>
    </row>
    <row r="274" spans="18:26">
      <c r="R274">
        <f t="shared" si="20"/>
        <v>2009</v>
      </c>
      <c r="S274" s="10">
        <v>39871</v>
      </c>
      <c r="T274" s="2">
        <v>7.79</v>
      </c>
      <c r="U274" s="13">
        <v>39871</v>
      </c>
      <c r="V274" s="1">
        <v>17752.18</v>
      </c>
      <c r="X274" s="7">
        <f t="shared" si="17"/>
        <v>39871</v>
      </c>
      <c r="Y274" s="11">
        <f t="shared" si="18"/>
        <v>229.11764705882356</v>
      </c>
      <c r="Z274" s="11">
        <f t="shared" si="19"/>
        <v>201.31319465786029</v>
      </c>
    </row>
    <row r="275" spans="18:26">
      <c r="R275">
        <f t="shared" si="20"/>
        <v>2009</v>
      </c>
      <c r="S275" s="10">
        <v>39878</v>
      </c>
      <c r="T275" s="2">
        <v>7.5</v>
      </c>
      <c r="U275" s="13">
        <v>39878</v>
      </c>
      <c r="V275" s="1">
        <v>17043.439999999999</v>
      </c>
      <c r="X275" s="7">
        <f t="shared" si="17"/>
        <v>39878</v>
      </c>
      <c r="Y275" s="11">
        <f t="shared" si="18"/>
        <v>220.58823529411768</v>
      </c>
      <c r="Z275" s="11">
        <f t="shared" si="19"/>
        <v>193.27594438314406</v>
      </c>
    </row>
    <row r="276" spans="18:26">
      <c r="R276">
        <f t="shared" si="20"/>
        <v>2009</v>
      </c>
      <c r="S276" s="10">
        <v>39885</v>
      </c>
      <c r="T276" s="2">
        <v>8.2899999999999991</v>
      </c>
      <c r="U276" s="13">
        <v>39885</v>
      </c>
      <c r="V276" s="1">
        <v>19437.009999999998</v>
      </c>
      <c r="X276" s="7">
        <f t="shared" si="17"/>
        <v>39885</v>
      </c>
      <c r="Y276" s="11">
        <f t="shared" si="18"/>
        <v>243.82352941176472</v>
      </c>
      <c r="Z276" s="11">
        <f t="shared" si="19"/>
        <v>220.41949651799254</v>
      </c>
    </row>
    <row r="277" spans="18:26">
      <c r="R277">
        <f t="shared" si="20"/>
        <v>2009</v>
      </c>
      <c r="S277" s="10">
        <v>39892</v>
      </c>
      <c r="T277" s="2">
        <v>7.68</v>
      </c>
      <c r="U277" s="13">
        <v>39892</v>
      </c>
      <c r="V277" s="1">
        <v>19363.3</v>
      </c>
      <c r="X277" s="7">
        <f t="shared" si="17"/>
        <v>39892</v>
      </c>
      <c r="Y277" s="11">
        <f t="shared" si="18"/>
        <v>225.88235294117652</v>
      </c>
      <c r="Z277" s="11">
        <f t="shared" si="19"/>
        <v>219.58361069561857</v>
      </c>
    </row>
    <row r="278" spans="18:26">
      <c r="R278">
        <f t="shared" si="20"/>
        <v>2009</v>
      </c>
      <c r="S278" s="10">
        <v>39899</v>
      </c>
      <c r="T278" s="2">
        <v>7.76</v>
      </c>
      <c r="U278" s="13">
        <v>39899</v>
      </c>
      <c r="V278" s="1">
        <v>20315.169999999998</v>
      </c>
      <c r="X278" s="7">
        <f t="shared" si="17"/>
        <v>39899</v>
      </c>
      <c r="Y278" s="11">
        <f t="shared" si="18"/>
        <v>228.23529411764713</v>
      </c>
      <c r="Z278" s="11">
        <f t="shared" si="19"/>
        <v>230.3780027420589</v>
      </c>
    </row>
    <row r="279" spans="18:26">
      <c r="R279">
        <f t="shared" si="20"/>
        <v>2009</v>
      </c>
      <c r="S279" s="10">
        <v>39906</v>
      </c>
      <c r="T279" s="2">
        <v>8.2899999999999991</v>
      </c>
      <c r="U279" s="13">
        <v>39906</v>
      </c>
      <c r="V279" s="1">
        <v>20933.78</v>
      </c>
      <c r="X279" s="7">
        <f t="shared" si="17"/>
        <v>39906</v>
      </c>
      <c r="Y279" s="11">
        <f t="shared" si="18"/>
        <v>243.82352941176478</v>
      </c>
      <c r="Z279" s="11">
        <f t="shared" si="19"/>
        <v>237.39316118160264</v>
      </c>
    </row>
    <row r="280" spans="18:26">
      <c r="R280">
        <f t="shared" si="20"/>
        <v>2009</v>
      </c>
      <c r="S280" s="10">
        <v>39913</v>
      </c>
      <c r="T280" s="2">
        <v>7.95</v>
      </c>
      <c r="U280" s="13">
        <v>39913</v>
      </c>
      <c r="V280" s="1">
        <v>20530.63</v>
      </c>
      <c r="X280" s="7">
        <f t="shared" si="17"/>
        <v>39913</v>
      </c>
      <c r="Y280" s="11">
        <f t="shared" si="18"/>
        <v>233.82352941176481</v>
      </c>
      <c r="Z280" s="11">
        <f t="shared" si="19"/>
        <v>232.82136129976749</v>
      </c>
    </row>
    <row r="281" spans="18:26">
      <c r="R281">
        <f t="shared" si="20"/>
        <v>2009</v>
      </c>
      <c r="S281" s="10">
        <v>39920</v>
      </c>
      <c r="T281" s="2">
        <v>8.52</v>
      </c>
      <c r="U281" s="13">
        <v>39920</v>
      </c>
      <c r="V281" s="1">
        <v>22234.84</v>
      </c>
      <c r="X281" s="7">
        <f t="shared" si="17"/>
        <v>39920</v>
      </c>
      <c r="Y281" s="11">
        <f t="shared" si="18"/>
        <v>250.58823529411777</v>
      </c>
      <c r="Z281" s="11">
        <f t="shared" si="19"/>
        <v>252.14743615186293</v>
      </c>
    </row>
    <row r="282" spans="18:26">
      <c r="R282">
        <f t="shared" si="20"/>
        <v>2009</v>
      </c>
      <c r="S282" s="10">
        <v>39927</v>
      </c>
      <c r="T282" s="2">
        <v>8.32</v>
      </c>
      <c r="U282" s="13">
        <v>39927</v>
      </c>
      <c r="V282" s="1">
        <v>22582.17</v>
      </c>
      <c r="X282" s="7">
        <f t="shared" si="17"/>
        <v>39927</v>
      </c>
      <c r="Y282" s="11">
        <f t="shared" si="18"/>
        <v>244.70588235294133</v>
      </c>
      <c r="Z282" s="11">
        <f t="shared" si="19"/>
        <v>256.08622631174831</v>
      </c>
    </row>
    <row r="283" spans="18:26">
      <c r="R283">
        <f t="shared" si="20"/>
        <v>2009</v>
      </c>
      <c r="S283" s="10">
        <v>39934</v>
      </c>
      <c r="T283" s="2">
        <v>8.3699999999999992</v>
      </c>
      <c r="U283" s="13">
        <v>39934</v>
      </c>
      <c r="V283" s="1">
        <v>21898.85</v>
      </c>
      <c r="X283" s="7">
        <f t="shared" si="17"/>
        <v>39934</v>
      </c>
      <c r="Y283" s="11">
        <f t="shared" si="18"/>
        <v>246.17647058823539</v>
      </c>
      <c r="Z283" s="11">
        <f t="shared" si="19"/>
        <v>248.33724381080427</v>
      </c>
    </row>
    <row r="284" spans="18:26">
      <c r="R284">
        <f t="shared" si="20"/>
        <v>2009</v>
      </c>
      <c r="S284" s="10">
        <v>39941</v>
      </c>
      <c r="T284" s="2">
        <v>8.75</v>
      </c>
      <c r="U284" s="13">
        <v>39941</v>
      </c>
      <c r="V284" s="1">
        <v>24085.58</v>
      </c>
      <c r="X284" s="7">
        <f t="shared" si="17"/>
        <v>39941</v>
      </c>
      <c r="Y284" s="11">
        <f t="shared" si="18"/>
        <v>257.35294117647072</v>
      </c>
      <c r="Z284" s="11">
        <f t="shared" si="19"/>
        <v>273.13518987456564</v>
      </c>
    </row>
    <row r="285" spans="18:26">
      <c r="R285">
        <f t="shared" si="20"/>
        <v>2009</v>
      </c>
      <c r="S285" s="10">
        <v>39948</v>
      </c>
      <c r="T285" s="2">
        <v>8.73</v>
      </c>
      <c r="U285" s="13">
        <v>39948</v>
      </c>
      <c r="V285" s="1">
        <v>23341.72</v>
      </c>
      <c r="X285" s="7">
        <f t="shared" si="17"/>
        <v>39948</v>
      </c>
      <c r="Y285" s="11">
        <f t="shared" si="18"/>
        <v>256.7647058823531</v>
      </c>
      <c r="Z285" s="11">
        <f t="shared" si="19"/>
        <v>264.69967192813897</v>
      </c>
    </row>
    <row r="286" spans="18:26">
      <c r="R286">
        <f t="shared" si="20"/>
        <v>2009</v>
      </c>
      <c r="S286" s="10">
        <v>39955</v>
      </c>
      <c r="T286" s="2">
        <v>8.67</v>
      </c>
      <c r="U286" s="13">
        <v>39955</v>
      </c>
      <c r="V286" s="1">
        <v>24093.24</v>
      </c>
      <c r="X286" s="7">
        <f t="shared" si="17"/>
        <v>39955</v>
      </c>
      <c r="Y286" s="11">
        <f t="shared" si="18"/>
        <v>255.00000000000014</v>
      </c>
      <c r="Z286" s="11">
        <f t="shared" si="19"/>
        <v>273.22205577334984</v>
      </c>
    </row>
    <row r="287" spans="18:26">
      <c r="R287">
        <f t="shared" si="20"/>
        <v>2009</v>
      </c>
      <c r="S287" s="10">
        <v>39962</v>
      </c>
      <c r="T287" s="2">
        <v>8.5399999999999991</v>
      </c>
      <c r="U287" s="13">
        <v>39962</v>
      </c>
      <c r="V287" s="1">
        <v>24331.71</v>
      </c>
      <c r="X287" s="7">
        <f t="shared" si="17"/>
        <v>39962</v>
      </c>
      <c r="Y287" s="11">
        <f t="shared" si="18"/>
        <v>251.17647058823542</v>
      </c>
      <c r="Z287" s="11">
        <f t="shared" si="19"/>
        <v>275.92635223328097</v>
      </c>
    </row>
    <row r="288" spans="18:26">
      <c r="R288">
        <f t="shared" si="20"/>
        <v>2009</v>
      </c>
      <c r="S288" s="10">
        <v>39969</v>
      </c>
      <c r="T288" s="2">
        <v>8.43</v>
      </c>
      <c r="U288" s="13">
        <v>39969</v>
      </c>
      <c r="V288" s="1">
        <v>24913.01</v>
      </c>
      <c r="X288" s="7">
        <f t="shared" si="17"/>
        <v>39969</v>
      </c>
      <c r="Y288" s="11">
        <f t="shared" si="18"/>
        <v>247.94117647058837</v>
      </c>
      <c r="Z288" s="11">
        <f t="shared" si="19"/>
        <v>282.51840797261065</v>
      </c>
    </row>
    <row r="289" spans="18:26">
      <c r="R289">
        <f t="shared" si="20"/>
        <v>2009</v>
      </c>
      <c r="S289" s="10">
        <v>39976</v>
      </c>
      <c r="T289" s="2">
        <v>8.3800000000000008</v>
      </c>
      <c r="U289" s="13">
        <v>39976</v>
      </c>
      <c r="V289" s="1">
        <v>25460.02</v>
      </c>
      <c r="X289" s="7">
        <f t="shared" si="17"/>
        <v>39976</v>
      </c>
      <c r="Y289" s="11">
        <f t="shared" si="18"/>
        <v>246.47058823529429</v>
      </c>
      <c r="Z289" s="11">
        <f t="shared" si="19"/>
        <v>288.72160840263092</v>
      </c>
    </row>
    <row r="290" spans="18:26">
      <c r="R290">
        <f t="shared" si="20"/>
        <v>2009</v>
      </c>
      <c r="S290" s="10">
        <v>39983</v>
      </c>
      <c r="T290" s="2">
        <v>8.59</v>
      </c>
      <c r="U290" s="13">
        <v>39983</v>
      </c>
      <c r="V290" s="1">
        <v>24274.720000000001</v>
      </c>
      <c r="X290" s="7">
        <f t="shared" si="17"/>
        <v>39983</v>
      </c>
      <c r="Y290" s="11">
        <f t="shared" si="18"/>
        <v>252.64705882352953</v>
      </c>
      <c r="Z290" s="11">
        <f t="shared" si="19"/>
        <v>275.2800744824047</v>
      </c>
    </row>
    <row r="291" spans="18:26">
      <c r="R291">
        <f t="shared" si="20"/>
        <v>2009</v>
      </c>
      <c r="S291" s="10">
        <v>39990</v>
      </c>
      <c r="T291" s="2">
        <v>8.7799999999999994</v>
      </c>
      <c r="U291" s="13">
        <v>39990</v>
      </c>
      <c r="V291" s="1">
        <v>24458.23</v>
      </c>
      <c r="X291" s="7">
        <f t="shared" si="17"/>
        <v>39990</v>
      </c>
      <c r="Y291" s="11">
        <f t="shared" si="18"/>
        <v>258.23529411764713</v>
      </c>
      <c r="Z291" s="11">
        <f t="shared" si="19"/>
        <v>277.36111378865684</v>
      </c>
    </row>
    <row r="292" spans="18:26">
      <c r="R292">
        <f t="shared" si="20"/>
        <v>2009</v>
      </c>
      <c r="S292" s="10">
        <v>39997</v>
      </c>
      <c r="T292" s="2">
        <v>8.5</v>
      </c>
      <c r="U292" s="13">
        <v>39997</v>
      </c>
      <c r="V292" s="1">
        <v>24045.39</v>
      </c>
      <c r="X292" s="7">
        <f t="shared" si="17"/>
        <v>39997</v>
      </c>
      <c r="Y292" s="11">
        <f t="shared" si="18"/>
        <v>250.00000000000009</v>
      </c>
      <c r="Z292" s="11">
        <f t="shared" si="19"/>
        <v>272.67942741084011</v>
      </c>
    </row>
    <row r="293" spans="18:26">
      <c r="R293">
        <f t="shared" si="20"/>
        <v>2009</v>
      </c>
      <c r="S293" s="10">
        <v>40004</v>
      </c>
      <c r="T293" s="2">
        <v>8.08</v>
      </c>
      <c r="U293" s="13">
        <v>40004</v>
      </c>
      <c r="V293" s="1">
        <v>23656.26</v>
      </c>
      <c r="X293" s="7">
        <f t="shared" si="17"/>
        <v>40004</v>
      </c>
      <c r="Y293" s="11">
        <f t="shared" si="18"/>
        <v>237.64705882352948</v>
      </c>
      <c r="Z293" s="11">
        <f t="shared" si="19"/>
        <v>268.26661707221052</v>
      </c>
    </row>
    <row r="294" spans="18:26">
      <c r="R294">
        <f t="shared" si="20"/>
        <v>2009</v>
      </c>
      <c r="S294" s="10">
        <v>40011</v>
      </c>
      <c r="T294" s="2">
        <v>8.91</v>
      </c>
      <c r="U294" s="13">
        <v>40011</v>
      </c>
      <c r="V294" s="1">
        <v>25741.96</v>
      </c>
      <c r="X294" s="7">
        <f t="shared" si="17"/>
        <v>40011</v>
      </c>
      <c r="Y294" s="11">
        <f t="shared" si="18"/>
        <v>262.05882352941182</v>
      </c>
      <c r="Z294" s="11">
        <f t="shared" si="19"/>
        <v>291.91886316806466</v>
      </c>
    </row>
    <row r="295" spans="18:26">
      <c r="R295">
        <f t="shared" si="20"/>
        <v>2009</v>
      </c>
      <c r="S295" s="10">
        <v>40018</v>
      </c>
      <c r="T295" s="2">
        <v>8.9700000000000006</v>
      </c>
      <c r="U295" s="13">
        <v>40018</v>
      </c>
      <c r="V295" s="1">
        <v>26646.37</v>
      </c>
      <c r="X295" s="7">
        <f t="shared" si="17"/>
        <v>40018</v>
      </c>
      <c r="Y295" s="11">
        <f t="shared" si="18"/>
        <v>263.82352941176475</v>
      </c>
      <c r="Z295" s="11">
        <f t="shared" si="19"/>
        <v>302.1750495283041</v>
      </c>
    </row>
    <row r="296" spans="18:26">
      <c r="R296">
        <f t="shared" si="20"/>
        <v>2009</v>
      </c>
      <c r="S296" s="10">
        <v>40025</v>
      </c>
      <c r="T296" s="2">
        <v>9.35</v>
      </c>
      <c r="U296" s="13">
        <v>40025</v>
      </c>
      <c r="V296" s="1">
        <v>27043.5</v>
      </c>
      <c r="X296" s="7">
        <f t="shared" si="17"/>
        <v>40025</v>
      </c>
      <c r="Y296" s="11">
        <f t="shared" si="18"/>
        <v>275</v>
      </c>
      <c r="Z296" s="11">
        <f t="shared" si="19"/>
        <v>306.67858143224356</v>
      </c>
    </row>
    <row r="297" spans="18:26">
      <c r="R297">
        <f t="shared" si="20"/>
        <v>2009</v>
      </c>
      <c r="S297" s="10">
        <v>40032</v>
      </c>
      <c r="T297" s="2">
        <v>10.34</v>
      </c>
      <c r="U297" s="13">
        <v>40032</v>
      </c>
      <c r="V297" s="1">
        <v>28179.55</v>
      </c>
      <c r="X297" s="7">
        <f t="shared" si="17"/>
        <v>40032</v>
      </c>
      <c r="Y297" s="11">
        <f t="shared" si="18"/>
        <v>304.11764705882354</v>
      </c>
      <c r="Z297" s="11">
        <f t="shared" si="19"/>
        <v>319.56161071603077</v>
      </c>
    </row>
    <row r="298" spans="18:26">
      <c r="R298">
        <f t="shared" si="20"/>
        <v>2009</v>
      </c>
      <c r="S298" s="10">
        <v>40039</v>
      </c>
      <c r="T298" s="2">
        <v>10</v>
      </c>
      <c r="U298" s="13">
        <v>40039</v>
      </c>
      <c r="V298" s="1">
        <v>27855.43</v>
      </c>
      <c r="X298" s="7">
        <f t="shared" si="17"/>
        <v>40039</v>
      </c>
      <c r="Y298" s="11">
        <f t="shared" si="18"/>
        <v>294.11764705882354</v>
      </c>
      <c r="Z298" s="11">
        <f t="shared" si="19"/>
        <v>315.88602649750067</v>
      </c>
    </row>
    <row r="299" spans="18:26">
      <c r="R299">
        <f t="shared" si="20"/>
        <v>2009</v>
      </c>
      <c r="S299" s="10">
        <v>40046</v>
      </c>
      <c r="T299" s="2">
        <v>9.8000000000000007</v>
      </c>
      <c r="U299" s="13">
        <v>40046</v>
      </c>
      <c r="V299" s="1">
        <v>28308.959999999999</v>
      </c>
      <c r="X299" s="7">
        <f t="shared" si="17"/>
        <v>40046</v>
      </c>
      <c r="Y299" s="11">
        <f t="shared" si="18"/>
        <v>288.23529411764707</v>
      </c>
      <c r="Z299" s="11">
        <f t="shared" si="19"/>
        <v>321.02914543687484</v>
      </c>
    </row>
    <row r="300" spans="18:26">
      <c r="R300">
        <f t="shared" si="20"/>
        <v>2009</v>
      </c>
      <c r="S300" s="10">
        <v>40053</v>
      </c>
      <c r="T300" s="2">
        <v>9.77</v>
      </c>
      <c r="U300" s="13">
        <v>40053</v>
      </c>
      <c r="V300" s="1">
        <v>28599.919999999998</v>
      </c>
      <c r="X300" s="7">
        <f t="shared" si="17"/>
        <v>40053</v>
      </c>
      <c r="Y300" s="11">
        <f t="shared" si="18"/>
        <v>287.35294117647055</v>
      </c>
      <c r="Z300" s="11">
        <f t="shared" si="19"/>
        <v>324.32868876719544</v>
      </c>
    </row>
    <row r="301" spans="18:26">
      <c r="R301">
        <f t="shared" si="20"/>
        <v>2009</v>
      </c>
      <c r="S301" s="10">
        <v>40060</v>
      </c>
      <c r="T301" s="2">
        <v>9.9600000000000009</v>
      </c>
      <c r="U301" s="13">
        <v>40060</v>
      </c>
      <c r="V301" s="1">
        <v>28309.55</v>
      </c>
      <c r="X301" s="7">
        <f t="shared" si="17"/>
        <v>40060</v>
      </c>
      <c r="Y301" s="11">
        <f t="shared" si="18"/>
        <v>292.94117647058823</v>
      </c>
      <c r="Z301" s="11">
        <f t="shared" si="19"/>
        <v>321.03583615231645</v>
      </c>
    </row>
    <row r="302" spans="18:26">
      <c r="R302">
        <f t="shared" si="20"/>
        <v>2009</v>
      </c>
      <c r="S302" s="10">
        <v>40067</v>
      </c>
      <c r="T302" s="2">
        <v>10.16</v>
      </c>
      <c r="U302" s="13">
        <v>40067</v>
      </c>
      <c r="V302" s="1">
        <v>29448.79</v>
      </c>
      <c r="X302" s="7">
        <f t="shared" si="17"/>
        <v>40067</v>
      </c>
      <c r="Y302" s="11">
        <f t="shared" si="18"/>
        <v>298.8235294117647</v>
      </c>
      <c r="Z302" s="11">
        <f t="shared" si="19"/>
        <v>333.95504066027098</v>
      </c>
    </row>
    <row r="303" spans="18:26">
      <c r="R303">
        <f t="shared" si="20"/>
        <v>2009</v>
      </c>
      <c r="S303" s="10">
        <v>40074</v>
      </c>
      <c r="T303" s="2">
        <v>9.81</v>
      </c>
      <c r="U303" s="13">
        <v>40074</v>
      </c>
      <c r="V303" s="1">
        <v>29942</v>
      </c>
      <c r="X303" s="7">
        <f t="shared" si="17"/>
        <v>40074</v>
      </c>
      <c r="Y303" s="11">
        <f t="shared" si="18"/>
        <v>288.52941176470591</v>
      </c>
      <c r="Z303" s="11">
        <f t="shared" si="19"/>
        <v>339.5481385635822</v>
      </c>
    </row>
    <row r="304" spans="18:26">
      <c r="R304">
        <f t="shared" si="20"/>
        <v>2009</v>
      </c>
      <c r="S304" s="10">
        <v>40081</v>
      </c>
      <c r="T304" s="2">
        <v>9.32</v>
      </c>
      <c r="U304" s="13">
        <v>40081</v>
      </c>
      <c r="V304" s="1">
        <v>28759.98</v>
      </c>
      <c r="X304" s="7">
        <f t="shared" si="17"/>
        <v>40081</v>
      </c>
      <c r="Y304" s="11">
        <f t="shared" si="18"/>
        <v>274.11764705882354</v>
      </c>
      <c r="Z304" s="11">
        <f t="shared" si="19"/>
        <v>326.143800485133</v>
      </c>
    </row>
    <row r="305" spans="18:26">
      <c r="R305">
        <f t="shared" si="20"/>
        <v>2009</v>
      </c>
      <c r="S305" s="10">
        <v>40088</v>
      </c>
      <c r="T305" s="2">
        <v>9.4499999999999993</v>
      </c>
      <c r="U305" s="13">
        <v>40088</v>
      </c>
      <c r="V305" s="1">
        <v>28678.66</v>
      </c>
      <c r="X305" s="7">
        <f t="shared" si="17"/>
        <v>40088</v>
      </c>
      <c r="Y305" s="11">
        <f t="shared" si="18"/>
        <v>277.94117647058823</v>
      </c>
      <c r="Z305" s="11">
        <f t="shared" si="19"/>
        <v>325.221615773758</v>
      </c>
    </row>
    <row r="306" spans="18:26">
      <c r="R306">
        <f t="shared" si="20"/>
        <v>2009</v>
      </c>
      <c r="S306" s="10">
        <v>40095</v>
      </c>
      <c r="T306" s="2">
        <v>9.7799999999999994</v>
      </c>
      <c r="U306" s="13">
        <v>40095</v>
      </c>
      <c r="V306" s="1">
        <v>30039.71</v>
      </c>
      <c r="X306" s="7">
        <f t="shared" si="17"/>
        <v>40095</v>
      </c>
      <c r="Y306" s="11">
        <f t="shared" si="18"/>
        <v>287.64705882352945</v>
      </c>
      <c r="Z306" s="11">
        <f t="shared" si="19"/>
        <v>340.65618908188583</v>
      </c>
    </row>
    <row r="307" spans="18:26">
      <c r="R307">
        <f t="shared" si="20"/>
        <v>2009</v>
      </c>
      <c r="S307" s="10">
        <v>40102</v>
      </c>
      <c r="T307" s="2">
        <v>10.130000000000001</v>
      </c>
      <c r="U307" s="13">
        <v>40102</v>
      </c>
      <c r="V307" s="1">
        <v>30726.3</v>
      </c>
      <c r="X307" s="7">
        <f t="shared" si="17"/>
        <v>40102</v>
      </c>
      <c r="Y307" s="11">
        <f t="shared" si="18"/>
        <v>297.94117647058829</v>
      </c>
      <c r="Z307" s="11">
        <f t="shared" si="19"/>
        <v>348.44225402265027</v>
      </c>
    </row>
    <row r="308" spans="18:26">
      <c r="R308">
        <f t="shared" si="20"/>
        <v>2009</v>
      </c>
      <c r="S308" s="10">
        <v>40109</v>
      </c>
      <c r="T308" s="2">
        <v>10.01</v>
      </c>
      <c r="U308" s="13">
        <v>40109</v>
      </c>
      <c r="V308" s="1">
        <v>30617.68</v>
      </c>
      <c r="X308" s="7">
        <f t="shared" si="17"/>
        <v>40109</v>
      </c>
      <c r="Y308" s="11">
        <f t="shared" si="18"/>
        <v>294.41176470588238</v>
      </c>
      <c r="Z308" s="11">
        <f t="shared" si="19"/>
        <v>347.21048196965529</v>
      </c>
    </row>
    <row r="309" spans="18:26">
      <c r="R309">
        <f t="shared" si="20"/>
        <v>2009</v>
      </c>
      <c r="S309" s="10">
        <v>40116</v>
      </c>
      <c r="T309" s="2">
        <v>8.9700000000000006</v>
      </c>
      <c r="U309" s="13">
        <v>40116</v>
      </c>
      <c r="V309" s="1">
        <v>28646.03</v>
      </c>
      <c r="X309" s="7">
        <f t="shared" si="17"/>
        <v>40116</v>
      </c>
      <c r="Y309" s="11">
        <f t="shared" si="18"/>
        <v>263.82352941176475</v>
      </c>
      <c r="Z309" s="11">
        <f t="shared" si="19"/>
        <v>324.85158518925027</v>
      </c>
    </row>
    <row r="310" spans="18:26">
      <c r="R310">
        <f t="shared" si="20"/>
        <v>2009</v>
      </c>
      <c r="S310" s="10">
        <v>40123</v>
      </c>
      <c r="T310" s="2">
        <v>9.4600000000000009</v>
      </c>
      <c r="U310" s="13">
        <v>40123</v>
      </c>
      <c r="V310" s="1">
        <v>29868.62</v>
      </c>
      <c r="X310" s="7">
        <f t="shared" si="17"/>
        <v>40123</v>
      </c>
      <c r="Y310" s="11">
        <f t="shared" si="18"/>
        <v>278.23529411764713</v>
      </c>
      <c r="Z310" s="11">
        <f t="shared" si="19"/>
        <v>338.71599500577724</v>
      </c>
    </row>
    <row r="311" spans="18:26">
      <c r="R311">
        <f t="shared" si="20"/>
        <v>2009</v>
      </c>
      <c r="S311" s="10">
        <v>40130</v>
      </c>
      <c r="T311" s="2">
        <v>9.49</v>
      </c>
      <c r="U311" s="13">
        <v>40130</v>
      </c>
      <c r="V311" s="1">
        <v>31002.09</v>
      </c>
      <c r="X311" s="7">
        <f t="shared" si="17"/>
        <v>40130</v>
      </c>
      <c r="Y311" s="11">
        <f t="shared" si="18"/>
        <v>279.11764705882359</v>
      </c>
      <c r="Z311" s="11">
        <f t="shared" si="19"/>
        <v>351.56976658475202</v>
      </c>
    </row>
    <row r="312" spans="18:26">
      <c r="R312">
        <f t="shared" si="20"/>
        <v>2009</v>
      </c>
      <c r="S312" s="10">
        <v>40137</v>
      </c>
      <c r="T312" s="2">
        <v>9.49</v>
      </c>
      <c r="U312" s="13">
        <v>40137</v>
      </c>
      <c r="V312" s="1">
        <v>30666.51</v>
      </c>
      <c r="X312" s="7">
        <f t="shared" si="17"/>
        <v>40137</v>
      </c>
      <c r="Y312" s="11">
        <f t="shared" si="18"/>
        <v>279.11764705882359</v>
      </c>
      <c r="Z312" s="11">
        <f t="shared" si="19"/>
        <v>347.76422372391545</v>
      </c>
    </row>
    <row r="313" spans="18:26">
      <c r="R313">
        <f t="shared" si="20"/>
        <v>2009</v>
      </c>
      <c r="S313" s="10">
        <v>40144</v>
      </c>
      <c r="T313" s="2">
        <v>9.35</v>
      </c>
      <c r="U313" s="13">
        <v>40144</v>
      </c>
      <c r="V313" s="1">
        <v>30775.45</v>
      </c>
      <c r="X313" s="7">
        <f t="shared" si="17"/>
        <v>40144</v>
      </c>
      <c r="Y313" s="11">
        <f t="shared" si="18"/>
        <v>275.00000000000006</v>
      </c>
      <c r="Z313" s="11">
        <f t="shared" si="19"/>
        <v>348.99962463952284</v>
      </c>
    </row>
    <row r="314" spans="18:26">
      <c r="R314">
        <f t="shared" si="20"/>
        <v>2009</v>
      </c>
      <c r="S314" s="10">
        <v>40151</v>
      </c>
      <c r="T314" s="2">
        <v>9.42</v>
      </c>
      <c r="U314" s="13">
        <v>40151</v>
      </c>
      <c r="V314" s="1">
        <v>32105.39</v>
      </c>
      <c r="X314" s="7">
        <f t="shared" si="17"/>
        <v>40151</v>
      </c>
      <c r="Y314" s="11">
        <f t="shared" si="18"/>
        <v>277.05882352941182</v>
      </c>
      <c r="Z314" s="11">
        <f t="shared" si="19"/>
        <v>364.08140446055177</v>
      </c>
    </row>
    <row r="315" spans="18:26">
      <c r="R315">
        <f t="shared" si="20"/>
        <v>2009</v>
      </c>
      <c r="S315" s="10">
        <v>40158</v>
      </c>
      <c r="T315" s="2">
        <v>9.4700000000000006</v>
      </c>
      <c r="U315" s="13">
        <v>40158</v>
      </c>
      <c r="V315" s="1">
        <v>31901.69</v>
      </c>
      <c r="X315" s="7">
        <f t="shared" si="17"/>
        <v>40158</v>
      </c>
      <c r="Y315" s="11">
        <f t="shared" si="18"/>
        <v>278.52941176470597</v>
      </c>
      <c r="Z315" s="11">
        <f t="shared" si="19"/>
        <v>361.77140660384873</v>
      </c>
    </row>
    <row r="316" spans="18:26">
      <c r="R316">
        <f t="shared" si="20"/>
        <v>2009</v>
      </c>
      <c r="S316" s="10">
        <v>40165</v>
      </c>
      <c r="T316" s="2">
        <v>9.42</v>
      </c>
      <c r="U316" s="13">
        <v>40165</v>
      </c>
      <c r="V316" s="1">
        <v>31834.07</v>
      </c>
      <c r="X316" s="7">
        <f t="shared" si="17"/>
        <v>40165</v>
      </c>
      <c r="Y316" s="11">
        <f t="shared" si="18"/>
        <v>277.05882352941182</v>
      </c>
      <c r="Z316" s="11">
        <f t="shared" si="19"/>
        <v>361.00458257306695</v>
      </c>
    </row>
    <row r="317" spans="18:26">
      <c r="R317">
        <f t="shared" si="20"/>
        <v>2009</v>
      </c>
      <c r="S317" s="10">
        <v>40172</v>
      </c>
      <c r="T317" s="2">
        <v>9.5500000000000007</v>
      </c>
      <c r="U317" s="13">
        <v>40172</v>
      </c>
      <c r="V317" s="1">
        <v>32548.53</v>
      </c>
      <c r="X317" s="7">
        <f t="shared" si="17"/>
        <v>40172</v>
      </c>
      <c r="Y317" s="11">
        <f t="shared" si="18"/>
        <v>280.88235294117658</v>
      </c>
      <c r="Z317" s="11">
        <f t="shared" si="19"/>
        <v>369.10669876697972</v>
      </c>
    </row>
    <row r="318" spans="18:26">
      <c r="R318">
        <f t="shared" si="20"/>
        <v>2010</v>
      </c>
      <c r="S318" s="10">
        <v>40179</v>
      </c>
      <c r="T318" s="2">
        <v>10.220000000000001</v>
      </c>
      <c r="U318" s="13">
        <v>40179</v>
      </c>
      <c r="V318" s="1">
        <v>32120.47</v>
      </c>
      <c r="X318" s="7">
        <f t="shared" si="17"/>
        <v>40179</v>
      </c>
      <c r="Y318" s="11">
        <f t="shared" si="18"/>
        <v>300.58823529411774</v>
      </c>
      <c r="Z318" s="11">
        <f t="shared" si="19"/>
        <v>364.25241461116093</v>
      </c>
    </row>
    <row r="319" spans="18:26">
      <c r="R319">
        <f t="shared" si="20"/>
        <v>2010</v>
      </c>
      <c r="S319" s="10">
        <v>40186</v>
      </c>
      <c r="T319" s="2">
        <v>9.93</v>
      </c>
      <c r="U319" s="13">
        <v>40186</v>
      </c>
      <c r="V319" s="1">
        <v>32892.04</v>
      </c>
      <c r="X319" s="7">
        <f t="shared" si="17"/>
        <v>40186</v>
      </c>
      <c r="Y319" s="11">
        <f t="shared" si="18"/>
        <v>292.05882352941182</v>
      </c>
      <c r="Z319" s="11">
        <f t="shared" si="19"/>
        <v>373.00216937942963</v>
      </c>
    </row>
    <row r="320" spans="18:26">
      <c r="R320">
        <f t="shared" si="20"/>
        <v>2010</v>
      </c>
      <c r="S320" s="10">
        <v>40193</v>
      </c>
      <c r="T320" s="2">
        <v>10.07</v>
      </c>
      <c r="U320" s="13">
        <v>40193</v>
      </c>
      <c r="V320" s="1">
        <v>32262.3</v>
      </c>
      <c r="X320" s="7">
        <f t="shared" si="17"/>
        <v>40193</v>
      </c>
      <c r="Y320" s="11">
        <f t="shared" si="18"/>
        <v>296.17647058823536</v>
      </c>
      <c r="Z320" s="11">
        <f t="shared" si="19"/>
        <v>365.86079456214856</v>
      </c>
    </row>
    <row r="321" spans="18:26">
      <c r="R321">
        <f t="shared" si="20"/>
        <v>2010</v>
      </c>
      <c r="S321" s="10">
        <v>40200</v>
      </c>
      <c r="T321" s="2">
        <v>10.07</v>
      </c>
      <c r="U321" s="13">
        <v>40200</v>
      </c>
      <c r="V321" s="1">
        <v>30830.91</v>
      </c>
      <c r="X321" s="7">
        <f t="shared" si="17"/>
        <v>40200</v>
      </c>
      <c r="Y321" s="11">
        <f t="shared" si="18"/>
        <v>296.17647058823536</v>
      </c>
      <c r="Z321" s="11">
        <f t="shared" si="19"/>
        <v>349.62855189103357</v>
      </c>
    </row>
    <row r="322" spans="18:26">
      <c r="R322">
        <f t="shared" si="20"/>
        <v>2010</v>
      </c>
      <c r="S322" s="10">
        <v>40207</v>
      </c>
      <c r="T322" s="2">
        <v>10.24</v>
      </c>
      <c r="U322" s="13">
        <v>40207</v>
      </c>
      <c r="V322" s="1">
        <v>30391.61</v>
      </c>
      <c r="X322" s="7">
        <f t="shared" si="17"/>
        <v>40207</v>
      </c>
      <c r="Y322" s="11">
        <f t="shared" si="18"/>
        <v>301.17647058823536</v>
      </c>
      <c r="Z322" s="11">
        <f t="shared" si="19"/>
        <v>344.64680393595438</v>
      </c>
    </row>
    <row r="323" spans="18:26">
      <c r="R323">
        <f t="shared" si="20"/>
        <v>2010</v>
      </c>
      <c r="S323" s="10">
        <v>40214</v>
      </c>
      <c r="T323" s="2">
        <v>10.029999999999999</v>
      </c>
      <c r="U323" s="13">
        <v>40214</v>
      </c>
      <c r="V323" s="1">
        <v>30630.73</v>
      </c>
      <c r="X323" s="7">
        <f t="shared" si="17"/>
        <v>40214</v>
      </c>
      <c r="Y323" s="11">
        <f t="shared" si="18"/>
        <v>295.00000000000006</v>
      </c>
      <c r="Z323" s="11">
        <f t="shared" si="19"/>
        <v>347.35847152306695</v>
      </c>
    </row>
    <row r="324" spans="18:26">
      <c r="R324">
        <f t="shared" si="20"/>
        <v>2010</v>
      </c>
      <c r="S324" s="10">
        <v>40221</v>
      </c>
      <c r="T324" s="2">
        <v>10.78</v>
      </c>
      <c r="U324" s="13">
        <v>40221</v>
      </c>
      <c r="V324" s="1">
        <v>31005.74</v>
      </c>
      <c r="X324" s="7">
        <f t="shared" si="17"/>
        <v>40221</v>
      </c>
      <c r="Y324" s="11">
        <f t="shared" si="18"/>
        <v>317.05882352941182</v>
      </c>
      <c r="Z324" s="11">
        <f t="shared" si="19"/>
        <v>351.61115829892458</v>
      </c>
    </row>
    <row r="325" spans="18:26">
      <c r="R325">
        <f t="shared" si="20"/>
        <v>2010</v>
      </c>
      <c r="S325" s="10">
        <v>40228</v>
      </c>
      <c r="T325" s="2">
        <v>11.2</v>
      </c>
      <c r="U325" s="13">
        <v>40228</v>
      </c>
      <c r="V325" s="1">
        <v>32172.11</v>
      </c>
      <c r="X325" s="7">
        <f t="shared" ref="X325:X388" si="21">+S325</f>
        <v>40228</v>
      </c>
      <c r="Y325" s="11">
        <f t="shared" si="18"/>
        <v>329.41176470588238</v>
      </c>
      <c r="Z325" s="11">
        <f t="shared" si="19"/>
        <v>364.83802231523629</v>
      </c>
    </row>
    <row r="326" spans="18:26">
      <c r="R326">
        <f t="shared" si="20"/>
        <v>2010</v>
      </c>
      <c r="S326" s="10">
        <v>40235</v>
      </c>
      <c r="T326" s="2">
        <v>11.83</v>
      </c>
      <c r="U326" s="13">
        <v>40235</v>
      </c>
      <c r="V326" s="1">
        <v>31634.54</v>
      </c>
      <c r="X326" s="7">
        <f t="shared" si="21"/>
        <v>40235</v>
      </c>
      <c r="Y326" s="11">
        <f t="shared" ref="Y326:Y389" si="22">+Y325*(T326/T325)</f>
        <v>347.94117647058829</v>
      </c>
      <c r="Z326" s="11">
        <f t="shared" ref="Z326:Z389" si="23">+Z325*(V326/V325)</f>
        <v>358.74187333228178</v>
      </c>
    </row>
    <row r="327" spans="18:26">
      <c r="R327">
        <f t="shared" ref="R327:R390" si="24">+YEAR(S327)</f>
        <v>2010</v>
      </c>
      <c r="S327" s="10">
        <v>40242</v>
      </c>
      <c r="T327" s="2">
        <v>11.91</v>
      </c>
      <c r="U327" s="13">
        <v>40242</v>
      </c>
      <c r="V327" s="1">
        <v>32436.53</v>
      </c>
      <c r="X327" s="7">
        <f t="shared" si="21"/>
        <v>40242</v>
      </c>
      <c r="Y327" s="11">
        <f t="shared" si="22"/>
        <v>350.29411764705884</v>
      </c>
      <c r="Z327" s="11">
        <f t="shared" si="23"/>
        <v>367.83659685264138</v>
      </c>
    </row>
    <row r="328" spans="18:26">
      <c r="R328">
        <f t="shared" si="24"/>
        <v>2010</v>
      </c>
      <c r="S328" s="10">
        <v>40249</v>
      </c>
      <c r="T328" s="2">
        <v>11.48</v>
      </c>
      <c r="U328" s="13">
        <v>40249</v>
      </c>
      <c r="V328" s="1">
        <v>32578.05</v>
      </c>
      <c r="X328" s="7">
        <f t="shared" si="21"/>
        <v>40249</v>
      </c>
      <c r="Y328" s="11">
        <f t="shared" si="22"/>
        <v>337.64705882352945</v>
      </c>
      <c r="Z328" s="11">
        <f t="shared" si="23"/>
        <v>369.44146134297324</v>
      </c>
    </row>
    <row r="329" spans="18:26">
      <c r="R329">
        <f t="shared" si="24"/>
        <v>2010</v>
      </c>
      <c r="S329" s="10">
        <v>40256</v>
      </c>
      <c r="T329" s="2">
        <v>11.71</v>
      </c>
      <c r="U329" s="13">
        <v>40256</v>
      </c>
      <c r="V329" s="1">
        <v>33022.839999999997</v>
      </c>
      <c r="X329" s="7">
        <f t="shared" si="21"/>
        <v>40256</v>
      </c>
      <c r="Y329" s="11">
        <f t="shared" si="22"/>
        <v>344.41176470588243</v>
      </c>
      <c r="Z329" s="11">
        <f t="shared" si="23"/>
        <v>374.48546697224634</v>
      </c>
    </row>
    <row r="330" spans="18:26">
      <c r="R330">
        <f t="shared" si="24"/>
        <v>2010</v>
      </c>
      <c r="S330" s="10">
        <v>40263</v>
      </c>
      <c r="T330" s="2">
        <v>11.75</v>
      </c>
      <c r="U330" s="13">
        <v>40263</v>
      </c>
      <c r="V330" s="1">
        <v>33147.81</v>
      </c>
      <c r="X330" s="7">
        <f t="shared" si="21"/>
        <v>40263</v>
      </c>
      <c r="Y330" s="11">
        <f t="shared" si="22"/>
        <v>345.58823529411774</v>
      </c>
      <c r="Z330" s="11">
        <f t="shared" si="23"/>
        <v>375.9026512243434</v>
      </c>
    </row>
    <row r="331" spans="18:26">
      <c r="R331">
        <f t="shared" si="24"/>
        <v>2010</v>
      </c>
      <c r="S331" s="10">
        <v>40270</v>
      </c>
      <c r="T331" s="2">
        <v>12.24</v>
      </c>
      <c r="U331" s="13">
        <v>40270</v>
      </c>
      <c r="V331" s="1">
        <v>33266.43</v>
      </c>
      <c r="X331" s="7">
        <f t="shared" si="21"/>
        <v>40270</v>
      </c>
      <c r="Y331" s="11">
        <f t="shared" si="22"/>
        <v>360.00000000000011</v>
      </c>
      <c r="Z331" s="11">
        <f t="shared" si="23"/>
        <v>377.24782523397585</v>
      </c>
    </row>
    <row r="332" spans="18:26">
      <c r="R332">
        <f t="shared" si="24"/>
        <v>2010</v>
      </c>
      <c r="S332" s="10">
        <v>40277</v>
      </c>
      <c r="T332" s="2">
        <v>13.07</v>
      </c>
      <c r="U332" s="13">
        <v>40277</v>
      </c>
      <c r="V332" s="1">
        <v>33840.85</v>
      </c>
      <c r="X332" s="7">
        <f t="shared" si="21"/>
        <v>40277</v>
      </c>
      <c r="Y332" s="11">
        <f t="shared" si="22"/>
        <v>384.41176470588249</v>
      </c>
      <c r="Z332" s="11">
        <f t="shared" si="23"/>
        <v>383.76186042713903</v>
      </c>
    </row>
    <row r="333" spans="18:26">
      <c r="R333">
        <f t="shared" si="24"/>
        <v>2010</v>
      </c>
      <c r="S333" s="10">
        <v>40284</v>
      </c>
      <c r="T333" s="2">
        <v>12.39</v>
      </c>
      <c r="U333" s="13">
        <v>40284</v>
      </c>
      <c r="V333" s="1">
        <v>33621.39</v>
      </c>
      <c r="X333" s="7">
        <f t="shared" si="21"/>
        <v>40284</v>
      </c>
      <c r="Y333" s="11">
        <f t="shared" si="22"/>
        <v>364.41176470588249</v>
      </c>
      <c r="Z333" s="11">
        <f t="shared" si="23"/>
        <v>381.27314108677552</v>
      </c>
    </row>
    <row r="334" spans="18:26">
      <c r="R334">
        <f t="shared" si="24"/>
        <v>2010</v>
      </c>
      <c r="S334" s="10">
        <v>40291</v>
      </c>
      <c r="T334" s="2">
        <v>12.64</v>
      </c>
      <c r="U334" s="13">
        <v>40291</v>
      </c>
      <c r="V334" s="1">
        <v>33853.69</v>
      </c>
      <c r="X334" s="7">
        <f t="shared" si="21"/>
        <v>40291</v>
      </c>
      <c r="Y334" s="11">
        <f t="shared" si="22"/>
        <v>371.7647058823531</v>
      </c>
      <c r="Z334" s="11">
        <f t="shared" si="23"/>
        <v>383.90746853946143</v>
      </c>
    </row>
    <row r="335" spans="18:26">
      <c r="R335">
        <f t="shared" si="24"/>
        <v>2010</v>
      </c>
      <c r="S335" s="10">
        <v>40298</v>
      </c>
      <c r="T335" s="2">
        <v>12.61</v>
      </c>
      <c r="U335" s="13">
        <v>40298</v>
      </c>
      <c r="V335" s="1">
        <v>32687.32</v>
      </c>
      <c r="X335" s="7">
        <f t="shared" si="21"/>
        <v>40298</v>
      </c>
      <c r="Y335" s="11">
        <f t="shared" si="22"/>
        <v>370.88235294117658</v>
      </c>
      <c r="Z335" s="11">
        <f t="shared" si="23"/>
        <v>370.68060452314973</v>
      </c>
    </row>
    <row r="336" spans="18:26">
      <c r="R336">
        <f t="shared" si="24"/>
        <v>2010</v>
      </c>
      <c r="S336" s="10">
        <v>40305</v>
      </c>
      <c r="T336" s="2">
        <v>11.89</v>
      </c>
      <c r="U336" s="13">
        <v>40305</v>
      </c>
      <c r="V336" s="1">
        <v>31488.82</v>
      </c>
      <c r="X336" s="7">
        <f t="shared" si="21"/>
        <v>40305</v>
      </c>
      <c r="Y336" s="11">
        <f t="shared" si="22"/>
        <v>349.70588235294133</v>
      </c>
      <c r="Z336" s="11">
        <f t="shared" si="23"/>
        <v>357.0893800201622</v>
      </c>
    </row>
    <row r="337" spans="18:26">
      <c r="R337">
        <f t="shared" si="24"/>
        <v>2010</v>
      </c>
      <c r="S337" s="10">
        <v>40312</v>
      </c>
      <c r="T337" s="2">
        <v>12.07</v>
      </c>
      <c r="U337" s="13">
        <v>40312</v>
      </c>
      <c r="V337" s="1">
        <v>31812.73</v>
      </c>
      <c r="X337" s="7">
        <f t="shared" si="21"/>
        <v>40312</v>
      </c>
      <c r="Y337" s="11">
        <f t="shared" si="22"/>
        <v>355.00000000000011</v>
      </c>
      <c r="Z337" s="11">
        <f t="shared" si="23"/>
        <v>360.76258279760287</v>
      </c>
    </row>
    <row r="338" spans="18:26">
      <c r="R338">
        <f t="shared" si="24"/>
        <v>2010</v>
      </c>
      <c r="S338" s="10">
        <v>40319</v>
      </c>
      <c r="T338" s="2">
        <v>11.85</v>
      </c>
      <c r="U338" s="13">
        <v>40319</v>
      </c>
      <c r="V338" s="1">
        <v>30629.15</v>
      </c>
      <c r="X338" s="7">
        <f t="shared" si="21"/>
        <v>40319</v>
      </c>
      <c r="Y338" s="11">
        <f t="shared" si="22"/>
        <v>348.52941176470597</v>
      </c>
      <c r="Z338" s="11">
        <f t="shared" si="23"/>
        <v>347.34055401391828</v>
      </c>
    </row>
    <row r="339" spans="18:26">
      <c r="R339">
        <f t="shared" si="24"/>
        <v>2010</v>
      </c>
      <c r="S339" s="10">
        <v>40326</v>
      </c>
      <c r="T339" s="2">
        <v>12.41</v>
      </c>
      <c r="U339" s="13">
        <v>40326</v>
      </c>
      <c r="V339" s="1">
        <v>31547.55</v>
      </c>
      <c r="X339" s="7">
        <f t="shared" si="21"/>
        <v>40326</v>
      </c>
      <c r="Y339" s="11">
        <f t="shared" si="22"/>
        <v>365.00000000000006</v>
      </c>
      <c r="Z339" s="11">
        <f t="shared" si="23"/>
        <v>357.75538971149336</v>
      </c>
    </row>
    <row r="340" spans="18:26">
      <c r="R340">
        <f t="shared" si="24"/>
        <v>2010</v>
      </c>
      <c r="S340" s="10">
        <v>40333</v>
      </c>
      <c r="T340" s="2">
        <v>12.27</v>
      </c>
      <c r="U340" s="13">
        <v>40333</v>
      </c>
      <c r="V340" s="1">
        <v>30992.65</v>
      </c>
      <c r="X340" s="7">
        <f t="shared" si="21"/>
        <v>40333</v>
      </c>
      <c r="Y340" s="11">
        <f t="shared" si="22"/>
        <v>360.88235294117652</v>
      </c>
      <c r="Z340" s="11">
        <f t="shared" si="23"/>
        <v>351.4627151376863</v>
      </c>
    </row>
    <row r="341" spans="18:26">
      <c r="R341">
        <f t="shared" si="24"/>
        <v>2010</v>
      </c>
      <c r="S341" s="10">
        <v>40340</v>
      </c>
      <c r="T341" s="2">
        <v>13.31</v>
      </c>
      <c r="U341" s="13">
        <v>40340</v>
      </c>
      <c r="V341" s="1">
        <v>32124.28</v>
      </c>
      <c r="X341" s="7">
        <f t="shared" si="21"/>
        <v>40340</v>
      </c>
      <c r="Y341" s="11">
        <f t="shared" si="22"/>
        <v>391.47058823529426</v>
      </c>
      <c r="Z341" s="11">
        <f t="shared" si="23"/>
        <v>364.29562075663983</v>
      </c>
    </row>
    <row r="342" spans="18:26">
      <c r="R342">
        <f t="shared" si="24"/>
        <v>2010</v>
      </c>
      <c r="S342" s="10">
        <v>40347</v>
      </c>
      <c r="T342" s="2">
        <v>13.13</v>
      </c>
      <c r="U342" s="13">
        <v>40347</v>
      </c>
      <c r="V342" s="1">
        <v>32814.620000000003</v>
      </c>
      <c r="X342" s="7">
        <f t="shared" si="21"/>
        <v>40347</v>
      </c>
      <c r="Y342" s="11">
        <f t="shared" si="22"/>
        <v>386.17647058823542</v>
      </c>
      <c r="Z342" s="11">
        <f t="shared" si="23"/>
        <v>372.12421143114335</v>
      </c>
    </row>
    <row r="343" spans="18:26">
      <c r="R343">
        <f t="shared" si="24"/>
        <v>2010</v>
      </c>
      <c r="S343" s="10">
        <v>40354</v>
      </c>
      <c r="T343" s="2">
        <v>13.21</v>
      </c>
      <c r="U343" s="13">
        <v>40354</v>
      </c>
      <c r="V343" s="1">
        <v>32607.13</v>
      </c>
      <c r="X343" s="7">
        <f t="shared" si="21"/>
        <v>40354</v>
      </c>
      <c r="Y343" s="11">
        <f t="shared" si="22"/>
        <v>388.52941176470597</v>
      </c>
      <c r="Z343" s="11">
        <f t="shared" si="23"/>
        <v>369.77123423287475</v>
      </c>
    </row>
    <row r="344" spans="18:26">
      <c r="R344">
        <f t="shared" si="24"/>
        <v>2010</v>
      </c>
      <c r="S344" s="10">
        <v>40361</v>
      </c>
      <c r="T344" s="2">
        <v>13.11</v>
      </c>
      <c r="U344" s="13">
        <v>40361</v>
      </c>
      <c r="V344" s="1">
        <v>31379.67</v>
      </c>
      <c r="X344" s="7">
        <f t="shared" si="21"/>
        <v>40361</v>
      </c>
      <c r="Y344" s="11">
        <f t="shared" si="22"/>
        <v>385.58823529411768</v>
      </c>
      <c r="Z344" s="11">
        <f t="shared" si="23"/>
        <v>355.85159766346538</v>
      </c>
    </row>
    <row r="345" spans="18:26">
      <c r="R345">
        <f t="shared" si="24"/>
        <v>2010</v>
      </c>
      <c r="S345" s="10">
        <v>40368</v>
      </c>
      <c r="T345" s="2">
        <v>12.95</v>
      </c>
      <c r="U345" s="13">
        <v>40368</v>
      </c>
      <c r="V345" s="1">
        <v>32004.31</v>
      </c>
      <c r="X345" s="7">
        <f t="shared" si="21"/>
        <v>40368</v>
      </c>
      <c r="Y345" s="11">
        <f t="shared" si="22"/>
        <v>380.88235294117652</v>
      </c>
      <c r="Z345" s="11">
        <f t="shared" si="23"/>
        <v>362.93513748286142</v>
      </c>
    </row>
    <row r="346" spans="18:26">
      <c r="R346">
        <f t="shared" si="24"/>
        <v>2010</v>
      </c>
      <c r="S346" s="10">
        <v>40375</v>
      </c>
      <c r="T346" s="2">
        <v>13.3</v>
      </c>
      <c r="U346" s="13">
        <v>40375</v>
      </c>
      <c r="V346" s="1">
        <v>31783.39</v>
      </c>
      <c r="X346" s="7">
        <f t="shared" si="21"/>
        <v>40375</v>
      </c>
      <c r="Y346" s="11">
        <f t="shared" si="22"/>
        <v>391.17647058823542</v>
      </c>
      <c r="Z346" s="11">
        <f t="shared" si="23"/>
        <v>360.42986145682886</v>
      </c>
    </row>
    <row r="347" spans="18:26">
      <c r="R347">
        <f t="shared" si="24"/>
        <v>2010</v>
      </c>
      <c r="S347" s="10">
        <v>40382</v>
      </c>
      <c r="T347" s="2">
        <v>13.62</v>
      </c>
      <c r="U347" s="13">
        <v>40382</v>
      </c>
      <c r="V347" s="1">
        <v>32806.03</v>
      </c>
      <c r="X347" s="7">
        <f t="shared" si="21"/>
        <v>40382</v>
      </c>
      <c r="Y347" s="11">
        <f t="shared" si="22"/>
        <v>400.58823529411768</v>
      </c>
      <c r="Z347" s="11">
        <f t="shared" si="23"/>
        <v>372.02679915039181</v>
      </c>
    </row>
    <row r="348" spans="18:26">
      <c r="R348">
        <f t="shared" si="24"/>
        <v>2010</v>
      </c>
      <c r="S348" s="10">
        <v>40389</v>
      </c>
      <c r="T348" s="2">
        <v>14.28</v>
      </c>
      <c r="U348" s="13">
        <v>40389</v>
      </c>
      <c r="V348" s="1">
        <v>32308.74</v>
      </c>
      <c r="X348" s="7">
        <f t="shared" si="21"/>
        <v>40389</v>
      </c>
      <c r="Y348" s="11">
        <f t="shared" si="22"/>
        <v>420</v>
      </c>
      <c r="Z348" s="11">
        <f t="shared" si="23"/>
        <v>366.3874332487726</v>
      </c>
    </row>
    <row r="349" spans="18:26">
      <c r="R349">
        <f t="shared" si="24"/>
        <v>2010</v>
      </c>
      <c r="S349" s="10">
        <v>40396</v>
      </c>
      <c r="T349" s="2">
        <v>14.13</v>
      </c>
      <c r="U349" s="13">
        <v>40396</v>
      </c>
      <c r="V349" s="1">
        <v>32917.919999999998</v>
      </c>
      <c r="X349" s="7">
        <f t="shared" si="21"/>
        <v>40396</v>
      </c>
      <c r="Y349" s="11">
        <f t="shared" si="22"/>
        <v>415.58823529411774</v>
      </c>
      <c r="Z349" s="11">
        <f t="shared" si="23"/>
        <v>373.29565364320723</v>
      </c>
    </row>
    <row r="350" spans="18:26">
      <c r="R350">
        <f t="shared" si="24"/>
        <v>2010</v>
      </c>
      <c r="S350" s="10">
        <v>40403</v>
      </c>
      <c r="T350" s="2">
        <v>13.79</v>
      </c>
      <c r="U350" s="13">
        <v>40403</v>
      </c>
      <c r="V350" s="1">
        <v>32099.75</v>
      </c>
      <c r="X350" s="7">
        <f t="shared" si="21"/>
        <v>40403</v>
      </c>
      <c r="Y350" s="11">
        <f t="shared" si="22"/>
        <v>405.58823529411768</v>
      </c>
      <c r="Z350" s="11">
        <f t="shared" si="23"/>
        <v>364.01744575700843</v>
      </c>
    </row>
    <row r="351" spans="18:26">
      <c r="R351">
        <f t="shared" si="24"/>
        <v>2010</v>
      </c>
      <c r="S351" s="10">
        <v>40410</v>
      </c>
      <c r="T351" s="2">
        <v>14</v>
      </c>
      <c r="U351" s="13">
        <v>40410</v>
      </c>
      <c r="V351" s="1">
        <v>32291.67</v>
      </c>
      <c r="X351" s="7">
        <f t="shared" si="21"/>
        <v>40410</v>
      </c>
      <c r="Y351" s="11">
        <f t="shared" si="22"/>
        <v>411.76470588235304</v>
      </c>
      <c r="Z351" s="11">
        <f t="shared" si="23"/>
        <v>366.19385610879266</v>
      </c>
    </row>
    <row r="352" spans="18:26">
      <c r="R352">
        <f t="shared" si="24"/>
        <v>2010</v>
      </c>
      <c r="S352" s="10">
        <v>40417</v>
      </c>
      <c r="T352" s="2">
        <v>13.58</v>
      </c>
      <c r="U352" s="13">
        <v>40417</v>
      </c>
      <c r="V352" s="1">
        <v>31755.35</v>
      </c>
      <c r="X352" s="7">
        <f t="shared" si="21"/>
        <v>40417</v>
      </c>
      <c r="Y352" s="11">
        <f t="shared" si="22"/>
        <v>399.41176470588243</v>
      </c>
      <c r="Z352" s="11">
        <f t="shared" si="23"/>
        <v>360.11188237041779</v>
      </c>
    </row>
    <row r="353" spans="18:26">
      <c r="R353">
        <f t="shared" si="24"/>
        <v>2010</v>
      </c>
      <c r="S353" s="10">
        <v>40424</v>
      </c>
      <c r="T353" s="2">
        <v>13.82</v>
      </c>
      <c r="U353" s="13">
        <v>40424</v>
      </c>
      <c r="V353" s="1">
        <v>32592.87</v>
      </c>
      <c r="X353" s="7">
        <f t="shared" si="21"/>
        <v>40424</v>
      </c>
      <c r="Y353" s="11">
        <f t="shared" si="22"/>
        <v>406.4705882352942</v>
      </c>
      <c r="Z353" s="11">
        <f t="shared" si="23"/>
        <v>369.60952304270995</v>
      </c>
    </row>
    <row r="354" spans="18:26">
      <c r="R354">
        <f t="shared" si="24"/>
        <v>2010</v>
      </c>
      <c r="S354" s="10">
        <v>40431</v>
      </c>
      <c r="T354" s="2">
        <v>13.88</v>
      </c>
      <c r="U354" s="13">
        <v>40431</v>
      </c>
      <c r="V354" s="1">
        <v>32626.87</v>
      </c>
      <c r="X354" s="7">
        <f t="shared" si="21"/>
        <v>40431</v>
      </c>
      <c r="Y354" s="11">
        <f t="shared" si="22"/>
        <v>408.23529411764719</v>
      </c>
      <c r="Z354" s="11">
        <f t="shared" si="23"/>
        <v>369.99508969527699</v>
      </c>
    </row>
    <row r="355" spans="18:26">
      <c r="R355">
        <f t="shared" si="24"/>
        <v>2010</v>
      </c>
      <c r="S355" s="10">
        <v>40438</v>
      </c>
      <c r="T355" s="2">
        <v>14.35</v>
      </c>
      <c r="U355" s="13">
        <v>40438</v>
      </c>
      <c r="V355" s="1">
        <v>33046.69</v>
      </c>
      <c r="X355" s="7">
        <f t="shared" si="21"/>
        <v>40438</v>
      </c>
      <c r="Y355" s="11">
        <f t="shared" si="22"/>
        <v>422.05882352941188</v>
      </c>
      <c r="Z355" s="11">
        <f t="shared" si="23"/>
        <v>374.75593063882667</v>
      </c>
    </row>
    <row r="356" spans="18:26">
      <c r="R356">
        <f t="shared" si="24"/>
        <v>2010</v>
      </c>
      <c r="S356" s="10">
        <v>40445</v>
      </c>
      <c r="T356" s="2">
        <v>14.17</v>
      </c>
      <c r="U356" s="13">
        <v>40445</v>
      </c>
      <c r="V356" s="1">
        <v>33280.75</v>
      </c>
      <c r="X356" s="7">
        <f t="shared" si="21"/>
        <v>40445</v>
      </c>
      <c r="Y356" s="11">
        <f t="shared" si="22"/>
        <v>416.7647058823531</v>
      </c>
      <c r="Z356" s="11">
        <f t="shared" si="23"/>
        <v>377.41021683588065</v>
      </c>
    </row>
    <row r="357" spans="18:26">
      <c r="R357">
        <f t="shared" si="24"/>
        <v>2010</v>
      </c>
      <c r="S357" s="10">
        <v>40452</v>
      </c>
      <c r="T357" s="2">
        <v>14.2</v>
      </c>
      <c r="U357" s="13">
        <v>40452</v>
      </c>
      <c r="V357" s="1">
        <v>33807.480000000003</v>
      </c>
      <c r="X357" s="7">
        <f t="shared" si="21"/>
        <v>40452</v>
      </c>
      <c r="Y357" s="11">
        <f t="shared" si="22"/>
        <v>417.64705882352962</v>
      </c>
      <c r="Z357" s="11">
        <f t="shared" si="23"/>
        <v>383.38343809784033</v>
      </c>
    </row>
    <row r="358" spans="18:26">
      <c r="R358">
        <f t="shared" si="24"/>
        <v>2010</v>
      </c>
      <c r="S358" s="10">
        <v>40459</v>
      </c>
      <c r="T358" s="2">
        <v>14.57</v>
      </c>
      <c r="U358" s="13">
        <v>40459</v>
      </c>
      <c r="V358" s="1">
        <v>34464.82</v>
      </c>
      <c r="X358" s="7">
        <f t="shared" si="21"/>
        <v>40459</v>
      </c>
      <c r="Y358" s="11">
        <f t="shared" si="22"/>
        <v>428.52941176470614</v>
      </c>
      <c r="Z358" s="11">
        <f t="shared" si="23"/>
        <v>390.83780231544046</v>
      </c>
    </row>
    <row r="359" spans="18:26">
      <c r="R359">
        <f t="shared" si="24"/>
        <v>2010</v>
      </c>
      <c r="S359" s="10">
        <v>40466</v>
      </c>
      <c r="T359" s="2">
        <v>14.18</v>
      </c>
      <c r="U359" s="13">
        <v>40466</v>
      </c>
      <c r="V359" s="1">
        <v>34741.54</v>
      </c>
      <c r="X359" s="7">
        <f t="shared" si="21"/>
        <v>40466</v>
      </c>
      <c r="Y359" s="11">
        <f t="shared" si="22"/>
        <v>417.058823529412</v>
      </c>
      <c r="Z359" s="11">
        <f t="shared" si="23"/>
        <v>393.97586125950949</v>
      </c>
    </row>
    <row r="360" spans="18:26">
      <c r="R360">
        <f t="shared" si="24"/>
        <v>2010</v>
      </c>
      <c r="S360" s="10">
        <v>40473</v>
      </c>
      <c r="T360" s="2">
        <v>13.89</v>
      </c>
      <c r="U360" s="13">
        <v>40473</v>
      </c>
      <c r="V360" s="1">
        <v>35120.879999999997</v>
      </c>
      <c r="X360" s="7">
        <f t="shared" si="21"/>
        <v>40473</v>
      </c>
      <c r="Y360" s="11">
        <f t="shared" si="22"/>
        <v>408.52941176470614</v>
      </c>
      <c r="Z360" s="11">
        <f t="shared" si="23"/>
        <v>398.27765108259103</v>
      </c>
    </row>
    <row r="361" spans="18:26">
      <c r="R361">
        <f t="shared" si="24"/>
        <v>2010</v>
      </c>
      <c r="S361" s="10">
        <v>40480</v>
      </c>
      <c r="T361" s="2">
        <v>13.97</v>
      </c>
      <c r="U361" s="13">
        <v>40480</v>
      </c>
      <c r="V361" s="1">
        <v>35568.22</v>
      </c>
      <c r="X361" s="7">
        <f t="shared" si="21"/>
        <v>40480</v>
      </c>
      <c r="Y361" s="11">
        <f t="shared" si="22"/>
        <v>410.88235294117669</v>
      </c>
      <c r="Z361" s="11">
        <f t="shared" si="23"/>
        <v>403.35057421080671</v>
      </c>
    </row>
    <row r="362" spans="18:26">
      <c r="R362">
        <f t="shared" si="24"/>
        <v>2010</v>
      </c>
      <c r="S362" s="10">
        <v>40487</v>
      </c>
      <c r="T362" s="2">
        <v>13.98</v>
      </c>
      <c r="U362" s="13">
        <v>40487</v>
      </c>
      <c r="V362" s="1">
        <v>36317.51</v>
      </c>
      <c r="X362" s="7">
        <f t="shared" si="21"/>
        <v>40487</v>
      </c>
      <c r="Y362" s="11">
        <f t="shared" si="22"/>
        <v>411.17647058823547</v>
      </c>
      <c r="Z362" s="11">
        <f t="shared" si="23"/>
        <v>411.84766941968746</v>
      </c>
    </row>
    <row r="363" spans="18:26">
      <c r="R363">
        <f t="shared" si="24"/>
        <v>2010</v>
      </c>
      <c r="S363" s="10">
        <v>40494</v>
      </c>
      <c r="T363" s="2">
        <v>13.93</v>
      </c>
      <c r="U363" s="13">
        <v>40494</v>
      </c>
      <c r="V363" s="1">
        <v>36057.39</v>
      </c>
      <c r="X363" s="7">
        <f t="shared" si="21"/>
        <v>40494</v>
      </c>
      <c r="Y363" s="11">
        <f t="shared" si="22"/>
        <v>409.70588235294133</v>
      </c>
      <c r="Z363" s="11">
        <f t="shared" si="23"/>
        <v>408.89785772363643</v>
      </c>
    </row>
    <row r="364" spans="18:26">
      <c r="R364">
        <f t="shared" si="24"/>
        <v>2010</v>
      </c>
      <c r="S364" s="10">
        <v>40501</v>
      </c>
      <c r="T364" s="2">
        <v>13.9</v>
      </c>
      <c r="U364" s="13">
        <v>40501</v>
      </c>
      <c r="V364" s="1">
        <v>36601.4</v>
      </c>
      <c r="X364" s="7">
        <f t="shared" si="21"/>
        <v>40501</v>
      </c>
      <c r="Y364" s="11">
        <f t="shared" si="22"/>
        <v>408.82352941176487</v>
      </c>
      <c r="Z364" s="11">
        <f t="shared" si="23"/>
        <v>415.06703756666548</v>
      </c>
    </row>
    <row r="365" spans="18:26">
      <c r="R365">
        <f t="shared" si="24"/>
        <v>2010</v>
      </c>
      <c r="S365" s="10">
        <v>40508</v>
      </c>
      <c r="T365" s="2">
        <v>13.89</v>
      </c>
      <c r="U365" s="13">
        <v>40508</v>
      </c>
      <c r="V365" s="1">
        <v>36904.53</v>
      </c>
      <c r="X365" s="7">
        <f t="shared" si="21"/>
        <v>40508</v>
      </c>
      <c r="Y365" s="11">
        <f t="shared" si="22"/>
        <v>408.52941176470608</v>
      </c>
      <c r="Z365" s="11">
        <f t="shared" si="23"/>
        <v>418.50459107821371</v>
      </c>
    </row>
    <row r="366" spans="18:26">
      <c r="R366">
        <f t="shared" si="24"/>
        <v>2010</v>
      </c>
      <c r="S366" s="10">
        <v>40515</v>
      </c>
      <c r="T366" s="2">
        <v>13.93</v>
      </c>
      <c r="U366" s="13">
        <v>40515</v>
      </c>
      <c r="V366" s="1">
        <v>37385.910000000003</v>
      </c>
      <c r="X366" s="7">
        <f t="shared" si="21"/>
        <v>40515</v>
      </c>
      <c r="Y366" s="11">
        <f t="shared" si="22"/>
        <v>409.70588235294133</v>
      </c>
      <c r="Z366" s="11">
        <f t="shared" si="23"/>
        <v>423.96353446682298</v>
      </c>
    </row>
    <row r="367" spans="18:26">
      <c r="R367">
        <f t="shared" si="24"/>
        <v>2010</v>
      </c>
      <c r="S367" s="10">
        <v>40522</v>
      </c>
      <c r="T367" s="2">
        <v>13.92</v>
      </c>
      <c r="U367" s="13">
        <v>40522</v>
      </c>
      <c r="V367" s="1">
        <v>37677.78</v>
      </c>
      <c r="X367" s="7">
        <f t="shared" si="21"/>
        <v>40522</v>
      </c>
      <c r="Y367" s="11">
        <f t="shared" si="22"/>
        <v>409.41176470588249</v>
      </c>
      <c r="Z367" s="11">
        <f t="shared" si="23"/>
        <v>427.27339737519753</v>
      </c>
    </row>
    <row r="368" spans="18:26">
      <c r="R368">
        <f t="shared" si="24"/>
        <v>2010</v>
      </c>
      <c r="S368" s="10">
        <v>40529</v>
      </c>
      <c r="T368" s="2">
        <v>13.61</v>
      </c>
      <c r="U368" s="13">
        <v>40529</v>
      </c>
      <c r="V368" s="1">
        <v>37997.339999999997</v>
      </c>
      <c r="X368" s="7">
        <f t="shared" si="21"/>
        <v>40529</v>
      </c>
      <c r="Y368" s="11">
        <f t="shared" si="22"/>
        <v>400.29411764705895</v>
      </c>
      <c r="Z368" s="11">
        <f t="shared" si="23"/>
        <v>430.89727030150095</v>
      </c>
    </row>
    <row r="369" spans="18:26">
      <c r="R369">
        <f t="shared" si="24"/>
        <v>2010</v>
      </c>
      <c r="S369" s="10">
        <v>40536</v>
      </c>
      <c r="T369" s="2">
        <v>13.7</v>
      </c>
      <c r="U369" s="13">
        <v>40536</v>
      </c>
      <c r="V369" s="1">
        <v>38081.07</v>
      </c>
      <c r="X369" s="7">
        <f t="shared" si="21"/>
        <v>40536</v>
      </c>
      <c r="Y369" s="11">
        <f t="shared" si="22"/>
        <v>402.9411764705884</v>
      </c>
      <c r="Z369" s="11">
        <f t="shared" si="23"/>
        <v>431.84678488442557</v>
      </c>
    </row>
    <row r="370" spans="18:26">
      <c r="R370">
        <f t="shared" si="24"/>
        <v>2010</v>
      </c>
      <c r="S370" s="10">
        <v>40543</v>
      </c>
      <c r="T370" s="2">
        <v>13.8</v>
      </c>
      <c r="U370" s="13">
        <v>40543</v>
      </c>
      <c r="V370" s="1">
        <v>38550.79</v>
      </c>
      <c r="X370" s="7">
        <f t="shared" si="21"/>
        <v>40543</v>
      </c>
      <c r="Y370" s="11">
        <f t="shared" si="22"/>
        <v>405.88235294117669</v>
      </c>
      <c r="Z370" s="11">
        <f t="shared" si="23"/>
        <v>437.17350159159565</v>
      </c>
    </row>
    <row r="371" spans="18:26">
      <c r="R371">
        <f t="shared" si="24"/>
        <v>2011</v>
      </c>
      <c r="S371" s="10">
        <v>40550</v>
      </c>
      <c r="T371" s="2">
        <v>13.52</v>
      </c>
      <c r="U371" s="13">
        <v>40550</v>
      </c>
      <c r="V371" s="1">
        <v>38600.86</v>
      </c>
      <c r="X371" s="7">
        <f t="shared" si="21"/>
        <v>40550</v>
      </c>
      <c r="Y371" s="11">
        <f t="shared" si="22"/>
        <v>397.64705882352962</v>
      </c>
      <c r="Z371" s="11">
        <f t="shared" si="23"/>
        <v>437.74130518847892</v>
      </c>
    </row>
    <row r="372" spans="18:26">
      <c r="R372">
        <f t="shared" si="24"/>
        <v>2011</v>
      </c>
      <c r="S372" s="10">
        <v>40557</v>
      </c>
      <c r="T372" s="2">
        <v>13.23</v>
      </c>
      <c r="U372" s="13">
        <v>40557</v>
      </c>
      <c r="V372" s="1">
        <v>37994.720000000001</v>
      </c>
      <c r="X372" s="7">
        <f t="shared" si="21"/>
        <v>40557</v>
      </c>
      <c r="Y372" s="11">
        <f t="shared" si="22"/>
        <v>389.11764705882376</v>
      </c>
      <c r="Z372" s="11">
        <f t="shared" si="23"/>
        <v>430.86755898886202</v>
      </c>
    </row>
    <row r="373" spans="18:26">
      <c r="R373">
        <f t="shared" si="24"/>
        <v>2011</v>
      </c>
      <c r="S373" s="10">
        <v>40564</v>
      </c>
      <c r="T373" s="2">
        <v>12.63</v>
      </c>
      <c r="U373" s="13">
        <v>40564</v>
      </c>
      <c r="V373" s="1">
        <v>37321.11</v>
      </c>
      <c r="X373" s="7">
        <f t="shared" si="21"/>
        <v>40564</v>
      </c>
      <c r="Y373" s="11">
        <f t="shared" si="22"/>
        <v>371.47058823529431</v>
      </c>
      <c r="Z373" s="11">
        <f t="shared" si="23"/>
        <v>423.22868978781281</v>
      </c>
    </row>
    <row r="374" spans="18:26">
      <c r="R374">
        <f t="shared" si="24"/>
        <v>2011</v>
      </c>
      <c r="S374" s="10">
        <v>40571</v>
      </c>
      <c r="T374" s="2">
        <v>12.38</v>
      </c>
      <c r="U374" s="13">
        <v>40571</v>
      </c>
      <c r="V374" s="1">
        <v>36839.72</v>
      </c>
      <c r="X374" s="7">
        <f t="shared" si="21"/>
        <v>40571</v>
      </c>
      <c r="Y374" s="11">
        <f t="shared" si="22"/>
        <v>364.11764705882371</v>
      </c>
      <c r="Z374" s="11">
        <f t="shared" si="23"/>
        <v>417.76963299724696</v>
      </c>
    </row>
    <row r="375" spans="18:26">
      <c r="R375">
        <f t="shared" si="24"/>
        <v>2011</v>
      </c>
      <c r="S375" s="10">
        <v>40578</v>
      </c>
      <c r="T375" s="2">
        <v>13.25</v>
      </c>
      <c r="U375" s="13">
        <v>40578</v>
      </c>
      <c r="V375" s="1">
        <v>37451.839999999997</v>
      </c>
      <c r="X375" s="7">
        <f t="shared" si="21"/>
        <v>40578</v>
      </c>
      <c r="Y375" s="11">
        <f t="shared" si="22"/>
        <v>389.70588235294133</v>
      </c>
      <c r="Z375" s="11">
        <f t="shared" si="23"/>
        <v>424.71119356693299</v>
      </c>
    </row>
    <row r="376" spans="18:26">
      <c r="R376">
        <f t="shared" si="24"/>
        <v>2011</v>
      </c>
      <c r="S376" s="10">
        <v>40585</v>
      </c>
      <c r="T376" s="2">
        <v>13.24</v>
      </c>
      <c r="U376" s="13">
        <v>40585</v>
      </c>
      <c r="V376" s="1">
        <v>37011.49</v>
      </c>
      <c r="X376" s="7">
        <f t="shared" si="21"/>
        <v>40585</v>
      </c>
      <c r="Y376" s="11">
        <f t="shared" si="22"/>
        <v>389.41176470588249</v>
      </c>
      <c r="Z376" s="11">
        <f t="shared" si="23"/>
        <v>419.71753840640685</v>
      </c>
    </row>
    <row r="377" spans="18:26">
      <c r="R377">
        <f t="shared" si="24"/>
        <v>2011</v>
      </c>
      <c r="S377" s="10">
        <v>40592</v>
      </c>
      <c r="T377" s="2">
        <v>13.27</v>
      </c>
      <c r="U377" s="13">
        <v>40592</v>
      </c>
      <c r="V377" s="1">
        <v>37522.300000000003</v>
      </c>
      <c r="X377" s="7">
        <f t="shared" si="21"/>
        <v>40592</v>
      </c>
      <c r="Y377" s="11">
        <f t="shared" si="22"/>
        <v>390.2941176470589</v>
      </c>
      <c r="Z377" s="11">
        <f t="shared" si="23"/>
        <v>425.51022375339988</v>
      </c>
    </row>
    <row r="378" spans="18:26">
      <c r="R378">
        <f t="shared" si="24"/>
        <v>2011</v>
      </c>
      <c r="S378" s="10">
        <v>40599</v>
      </c>
      <c r="T378" s="2">
        <v>12.91</v>
      </c>
      <c r="U378" s="13">
        <v>40599</v>
      </c>
      <c r="V378" s="1">
        <v>36880.199999999997</v>
      </c>
      <c r="X378" s="7">
        <f t="shared" si="21"/>
        <v>40599</v>
      </c>
      <c r="Y378" s="11">
        <f t="shared" si="22"/>
        <v>379.70588235294127</v>
      </c>
      <c r="Z378" s="11">
        <f t="shared" si="23"/>
        <v>418.22868411771498</v>
      </c>
    </row>
    <row r="379" spans="18:26">
      <c r="R379">
        <f t="shared" si="24"/>
        <v>2011</v>
      </c>
      <c r="S379" s="10">
        <v>40606</v>
      </c>
      <c r="T379" s="2">
        <v>12.68</v>
      </c>
      <c r="U379" s="13">
        <v>40606</v>
      </c>
      <c r="V379" s="1">
        <v>36900.839999999997</v>
      </c>
      <c r="X379" s="7">
        <f t="shared" si="21"/>
        <v>40606</v>
      </c>
      <c r="Y379" s="11">
        <f t="shared" si="22"/>
        <v>372.94117647058835</v>
      </c>
      <c r="Z379" s="11">
        <f t="shared" si="23"/>
        <v>418.46274575621453</v>
      </c>
    </row>
    <row r="380" spans="18:26">
      <c r="R380">
        <f t="shared" si="24"/>
        <v>2011</v>
      </c>
      <c r="S380" s="10">
        <v>40613</v>
      </c>
      <c r="T380" s="2">
        <v>12.73</v>
      </c>
      <c r="U380" s="13">
        <v>40613</v>
      </c>
      <c r="V380" s="1">
        <v>36091.22</v>
      </c>
      <c r="X380" s="7">
        <f t="shared" si="21"/>
        <v>40613</v>
      </c>
      <c r="Y380" s="11">
        <f t="shared" si="22"/>
        <v>374.41176470588243</v>
      </c>
      <c r="Z380" s="11">
        <f t="shared" si="23"/>
        <v>409.28149654294066</v>
      </c>
    </row>
    <row r="381" spans="18:26">
      <c r="R381">
        <f t="shared" si="24"/>
        <v>2011</v>
      </c>
      <c r="S381" s="10">
        <v>40620</v>
      </c>
      <c r="T381" s="2">
        <v>12.67</v>
      </c>
      <c r="U381" s="13">
        <v>40620</v>
      </c>
      <c r="V381" s="1">
        <v>35418.5</v>
      </c>
      <c r="X381" s="7">
        <f t="shared" si="21"/>
        <v>40620</v>
      </c>
      <c r="Y381" s="11">
        <f t="shared" si="22"/>
        <v>372.64705882352945</v>
      </c>
      <c r="Z381" s="11">
        <f t="shared" si="23"/>
        <v>401.65272011603219</v>
      </c>
    </row>
    <row r="382" spans="18:26">
      <c r="R382">
        <f t="shared" si="24"/>
        <v>2011</v>
      </c>
      <c r="S382" s="10">
        <v>40627</v>
      </c>
      <c r="T382" s="2">
        <v>13.3</v>
      </c>
      <c r="U382" s="13">
        <v>40627</v>
      </c>
      <c r="V382" s="1">
        <v>36784.269999999997</v>
      </c>
      <c r="X382" s="7">
        <f t="shared" si="21"/>
        <v>40627</v>
      </c>
      <c r="Y382" s="11">
        <f t="shared" si="22"/>
        <v>391.1764705882353</v>
      </c>
      <c r="Z382" s="11">
        <f t="shared" si="23"/>
        <v>417.14081914769281</v>
      </c>
    </row>
    <row r="383" spans="18:26">
      <c r="R383">
        <f t="shared" si="24"/>
        <v>2011</v>
      </c>
      <c r="S383" s="10">
        <v>40634</v>
      </c>
      <c r="T383" s="2">
        <v>13.55</v>
      </c>
      <c r="U383" s="13">
        <v>40634</v>
      </c>
      <c r="V383" s="1">
        <v>37775.07</v>
      </c>
      <c r="X383" s="7">
        <f t="shared" si="21"/>
        <v>40634</v>
      </c>
      <c r="Y383" s="11">
        <f t="shared" si="22"/>
        <v>398.52941176470591</v>
      </c>
      <c r="Z383" s="11">
        <f t="shared" si="23"/>
        <v>428.37668501132248</v>
      </c>
    </row>
    <row r="384" spans="18:26">
      <c r="R384">
        <f t="shared" si="24"/>
        <v>2011</v>
      </c>
      <c r="S384" s="10">
        <v>40641</v>
      </c>
      <c r="T384" s="2">
        <v>13.33</v>
      </c>
      <c r="U384" s="13">
        <v>40641</v>
      </c>
      <c r="V384" s="1">
        <v>37471.72</v>
      </c>
      <c r="X384" s="7">
        <f t="shared" si="21"/>
        <v>40641</v>
      </c>
      <c r="Y384" s="11">
        <f t="shared" si="22"/>
        <v>392.05882352941177</v>
      </c>
      <c r="Z384" s="11">
        <f t="shared" si="23"/>
        <v>424.93663665672818</v>
      </c>
    </row>
    <row r="385" spans="18:26">
      <c r="R385">
        <f t="shared" si="24"/>
        <v>2011</v>
      </c>
      <c r="S385" s="10">
        <v>40648</v>
      </c>
      <c r="T385" s="2">
        <v>13.28</v>
      </c>
      <c r="U385" s="13">
        <v>40648</v>
      </c>
      <c r="V385" s="1">
        <v>36988.379999999997</v>
      </c>
      <c r="X385" s="7">
        <f t="shared" si="21"/>
        <v>40648</v>
      </c>
      <c r="Y385" s="11">
        <f t="shared" si="22"/>
        <v>390.58823529411762</v>
      </c>
      <c r="Z385" s="11">
        <f t="shared" si="23"/>
        <v>419.455466484618</v>
      </c>
    </row>
    <row r="386" spans="18:26">
      <c r="R386">
        <f t="shared" si="24"/>
        <v>2011</v>
      </c>
      <c r="S386" s="10">
        <v>40655</v>
      </c>
      <c r="T386" s="2">
        <v>13.04</v>
      </c>
      <c r="U386" s="13">
        <v>40655</v>
      </c>
      <c r="V386" s="1">
        <v>36816.31</v>
      </c>
      <c r="X386" s="7">
        <f t="shared" si="21"/>
        <v>40655</v>
      </c>
      <c r="Y386" s="11">
        <f t="shared" si="22"/>
        <v>383.52941176470586</v>
      </c>
      <c r="Z386" s="11">
        <f t="shared" si="23"/>
        <v>417.50415901675893</v>
      </c>
    </row>
    <row r="387" spans="18:26">
      <c r="R387">
        <f t="shared" si="24"/>
        <v>2011</v>
      </c>
      <c r="S387" s="10">
        <v>40662</v>
      </c>
      <c r="T387" s="2">
        <v>13.13</v>
      </c>
      <c r="U387" s="13">
        <v>40662</v>
      </c>
      <c r="V387" s="1">
        <v>36962.620000000003</v>
      </c>
      <c r="X387" s="7">
        <f t="shared" si="21"/>
        <v>40662</v>
      </c>
      <c r="Y387" s="11">
        <f t="shared" si="22"/>
        <v>386.1764705882353</v>
      </c>
      <c r="Z387" s="11">
        <f t="shared" si="23"/>
        <v>419.16334304432019</v>
      </c>
    </row>
    <row r="388" spans="18:26">
      <c r="R388">
        <f t="shared" si="24"/>
        <v>2011</v>
      </c>
      <c r="S388" s="10">
        <v>40669</v>
      </c>
      <c r="T388" s="2">
        <v>12.71</v>
      </c>
      <c r="U388" s="13">
        <v>40669</v>
      </c>
      <c r="V388" s="1">
        <v>35212.230000000003</v>
      </c>
      <c r="X388" s="7">
        <f t="shared" si="21"/>
        <v>40669</v>
      </c>
      <c r="Y388" s="11">
        <f t="shared" si="22"/>
        <v>373.8235294117647</v>
      </c>
      <c r="Z388" s="11">
        <f t="shared" si="23"/>
        <v>399.31357795647341</v>
      </c>
    </row>
    <row r="389" spans="18:26">
      <c r="R389">
        <f t="shared" si="24"/>
        <v>2011</v>
      </c>
      <c r="S389" s="10">
        <v>40676</v>
      </c>
      <c r="T389" s="2">
        <v>12.48</v>
      </c>
      <c r="U389" s="13">
        <v>40676</v>
      </c>
      <c r="V389" s="1">
        <v>35045.14</v>
      </c>
      <c r="X389" s="7">
        <f t="shared" ref="X389:X452" si="25">+S389</f>
        <v>40676</v>
      </c>
      <c r="Y389" s="11">
        <f t="shared" si="22"/>
        <v>367.05882352941171</v>
      </c>
      <c r="Z389" s="11">
        <f t="shared" si="23"/>
        <v>397.41874466301977</v>
      </c>
    </row>
    <row r="390" spans="18:26">
      <c r="R390">
        <f t="shared" si="24"/>
        <v>2011</v>
      </c>
      <c r="S390" s="10">
        <v>40683</v>
      </c>
      <c r="T390" s="2">
        <v>12.3</v>
      </c>
      <c r="U390" s="13">
        <v>40683</v>
      </c>
      <c r="V390" s="1">
        <v>35298.67</v>
      </c>
      <c r="X390" s="7">
        <f t="shared" si="25"/>
        <v>40683</v>
      </c>
      <c r="Y390" s="11">
        <f t="shared" ref="Y390:Y453" si="26">+Y389*(T390/T389)</f>
        <v>361.76470588235293</v>
      </c>
      <c r="Z390" s="11">
        <f t="shared" ref="Z390:Z453" si="27">+Z389*(V390/V389)</f>
        <v>400.29382446964672</v>
      </c>
    </row>
    <row r="391" spans="18:26">
      <c r="R391">
        <f t="shared" ref="R391:R454" si="28">+YEAR(S391)</f>
        <v>2011</v>
      </c>
      <c r="S391" s="10">
        <v>40690</v>
      </c>
      <c r="T391" s="2">
        <v>12.2</v>
      </c>
      <c r="U391" s="13">
        <v>40690</v>
      </c>
      <c r="V391" s="1">
        <v>35819.199999999997</v>
      </c>
      <c r="X391" s="7">
        <f t="shared" si="25"/>
        <v>40690</v>
      </c>
      <c r="Y391" s="11">
        <f t="shared" si="26"/>
        <v>358.82352941176464</v>
      </c>
      <c r="Z391" s="11">
        <f t="shared" si="27"/>
        <v>406.19673651849121</v>
      </c>
    </row>
    <row r="392" spans="18:26">
      <c r="R392">
        <f t="shared" si="28"/>
        <v>2011</v>
      </c>
      <c r="S392" s="10">
        <v>40697</v>
      </c>
      <c r="T392" s="2">
        <v>12.9</v>
      </c>
      <c r="U392" s="13">
        <v>40697</v>
      </c>
      <c r="V392" s="1">
        <v>35123.89</v>
      </c>
      <c r="X392" s="7">
        <f t="shared" si="25"/>
        <v>40697</v>
      </c>
      <c r="Y392" s="11">
        <f t="shared" si="26"/>
        <v>379.41176470588232</v>
      </c>
      <c r="Z392" s="11">
        <f t="shared" si="27"/>
        <v>398.31178507153896</v>
      </c>
    </row>
    <row r="393" spans="18:26">
      <c r="R393">
        <f t="shared" si="28"/>
        <v>2011</v>
      </c>
      <c r="S393" s="10">
        <v>40704</v>
      </c>
      <c r="T393" s="2">
        <v>13.56</v>
      </c>
      <c r="U393" s="13">
        <v>40704</v>
      </c>
      <c r="V393" s="1">
        <v>34963.78</v>
      </c>
      <c r="X393" s="7">
        <f t="shared" si="25"/>
        <v>40704</v>
      </c>
      <c r="Y393" s="11">
        <f t="shared" si="26"/>
        <v>398.82352941176464</v>
      </c>
      <c r="Z393" s="11">
        <f t="shared" si="27"/>
        <v>396.49610634381816</v>
      </c>
    </row>
    <row r="394" spans="18:26">
      <c r="R394">
        <f t="shared" si="28"/>
        <v>2011</v>
      </c>
      <c r="S394" s="10">
        <v>40711</v>
      </c>
      <c r="T394" s="2">
        <v>13.75</v>
      </c>
      <c r="U394" s="13">
        <v>40711</v>
      </c>
      <c r="V394" s="1">
        <v>35025.74</v>
      </c>
      <c r="X394" s="7">
        <f t="shared" si="25"/>
        <v>40711</v>
      </c>
      <c r="Y394" s="11">
        <f t="shared" si="26"/>
        <v>404.41176470588226</v>
      </c>
      <c r="Z394" s="11">
        <f t="shared" si="27"/>
        <v>397.1987448671432</v>
      </c>
    </row>
    <row r="395" spans="18:26">
      <c r="R395">
        <f t="shared" si="28"/>
        <v>2011</v>
      </c>
      <c r="S395" s="10">
        <v>40718</v>
      </c>
      <c r="T395" s="2">
        <v>13.76</v>
      </c>
      <c r="U395" s="13">
        <v>40718</v>
      </c>
      <c r="V395" s="1">
        <v>35347.85</v>
      </c>
      <c r="X395" s="7">
        <f t="shared" si="25"/>
        <v>40718</v>
      </c>
      <c r="Y395" s="11">
        <f t="shared" si="26"/>
        <v>404.70588235294105</v>
      </c>
      <c r="Z395" s="11">
        <f t="shared" si="27"/>
        <v>400.8515352923892</v>
      </c>
    </row>
    <row r="396" spans="18:26">
      <c r="R396">
        <f t="shared" si="28"/>
        <v>2011</v>
      </c>
      <c r="S396" s="10">
        <v>40725</v>
      </c>
      <c r="T396" s="2">
        <v>14.19</v>
      </c>
      <c r="U396" s="13">
        <v>40725</v>
      </c>
      <c r="V396" s="1">
        <v>36800.720000000001</v>
      </c>
      <c r="X396" s="7">
        <f t="shared" si="25"/>
        <v>40725</v>
      </c>
      <c r="Y396" s="11">
        <f t="shared" si="26"/>
        <v>417.35294117647044</v>
      </c>
      <c r="Z396" s="11">
        <f t="shared" si="27"/>
        <v>417.32736536636133</v>
      </c>
    </row>
    <row r="397" spans="18:26">
      <c r="R397">
        <f t="shared" si="28"/>
        <v>2011</v>
      </c>
      <c r="S397" s="10">
        <v>40732</v>
      </c>
      <c r="T397" s="2">
        <v>14.15</v>
      </c>
      <c r="U397" s="13">
        <v>40732</v>
      </c>
      <c r="V397" s="1">
        <v>36499.85</v>
      </c>
      <c r="X397" s="7">
        <f t="shared" si="25"/>
        <v>40732</v>
      </c>
      <c r="Y397" s="11">
        <f t="shared" si="26"/>
        <v>416.17647058823513</v>
      </c>
      <c r="Z397" s="11">
        <f t="shared" si="27"/>
        <v>413.91544069701308</v>
      </c>
    </row>
    <row r="398" spans="18:26">
      <c r="R398">
        <f t="shared" si="28"/>
        <v>2011</v>
      </c>
      <c r="S398" s="10">
        <v>40739</v>
      </c>
      <c r="T398" s="2">
        <v>13.95</v>
      </c>
      <c r="U398" s="13">
        <v>40739</v>
      </c>
      <c r="V398" s="1">
        <v>36155.86</v>
      </c>
      <c r="X398" s="7">
        <f t="shared" si="25"/>
        <v>40739</v>
      </c>
      <c r="Y398" s="11">
        <f t="shared" si="26"/>
        <v>410.29411764705861</v>
      </c>
      <c r="Z398" s="11">
        <f t="shared" si="27"/>
        <v>410.0145267906446</v>
      </c>
    </row>
    <row r="399" spans="18:26">
      <c r="R399">
        <f t="shared" si="28"/>
        <v>2011</v>
      </c>
      <c r="S399" s="10">
        <v>40746</v>
      </c>
      <c r="T399" s="2">
        <v>13.83</v>
      </c>
      <c r="U399" s="13">
        <v>40746</v>
      </c>
      <c r="V399" s="1">
        <v>35755.480000000003</v>
      </c>
      <c r="X399" s="7">
        <f t="shared" si="25"/>
        <v>40746</v>
      </c>
      <c r="Y399" s="11">
        <f t="shared" si="26"/>
        <v>406.76470588235276</v>
      </c>
      <c r="Z399" s="11">
        <f t="shared" si="27"/>
        <v>405.47413925079803</v>
      </c>
    </row>
    <row r="400" spans="18:26">
      <c r="R400">
        <f t="shared" si="28"/>
        <v>2011</v>
      </c>
      <c r="S400" s="10">
        <v>40753</v>
      </c>
      <c r="T400" s="2">
        <v>13.68</v>
      </c>
      <c r="U400" s="13">
        <v>40753</v>
      </c>
      <c r="V400" s="1">
        <v>35999.339999999997</v>
      </c>
      <c r="X400" s="7">
        <f t="shared" si="25"/>
        <v>40753</v>
      </c>
      <c r="Y400" s="11">
        <f t="shared" si="26"/>
        <v>402.35294117647038</v>
      </c>
      <c r="Z400" s="11">
        <f t="shared" si="27"/>
        <v>408.23955936535663</v>
      </c>
    </row>
    <row r="401" spans="18:26">
      <c r="R401">
        <f t="shared" si="28"/>
        <v>2011</v>
      </c>
      <c r="S401" s="10">
        <v>40760</v>
      </c>
      <c r="T401" s="2">
        <v>12.79</v>
      </c>
      <c r="U401" s="13">
        <v>40760</v>
      </c>
      <c r="V401" s="1">
        <v>33697.870000000003</v>
      </c>
      <c r="X401" s="7">
        <f t="shared" si="25"/>
        <v>40760</v>
      </c>
      <c r="Y401" s="11">
        <f t="shared" si="26"/>
        <v>376.17647058823508</v>
      </c>
      <c r="Z401" s="11">
        <f t="shared" si="27"/>
        <v>382.14043925113828</v>
      </c>
    </row>
    <row r="402" spans="18:26">
      <c r="R402">
        <f t="shared" si="28"/>
        <v>2011</v>
      </c>
      <c r="S402" s="10">
        <v>40767</v>
      </c>
      <c r="T402" s="2">
        <v>13.18</v>
      </c>
      <c r="U402" s="13">
        <v>40767</v>
      </c>
      <c r="V402" s="1">
        <v>33361.5</v>
      </c>
      <c r="X402" s="7">
        <f t="shared" si="25"/>
        <v>40767</v>
      </c>
      <c r="Y402" s="11">
        <f t="shared" si="26"/>
        <v>387.64705882352922</v>
      </c>
      <c r="Z402" s="11">
        <f t="shared" si="27"/>
        <v>378.32593763572737</v>
      </c>
    </row>
    <row r="403" spans="18:26">
      <c r="R403">
        <f t="shared" si="28"/>
        <v>2011</v>
      </c>
      <c r="S403" s="10">
        <v>40774</v>
      </c>
      <c r="T403" s="2">
        <v>13.35</v>
      </c>
      <c r="U403" s="13">
        <v>40774</v>
      </c>
      <c r="V403" s="1">
        <v>33136.89</v>
      </c>
      <c r="X403" s="7">
        <f t="shared" si="25"/>
        <v>40774</v>
      </c>
      <c r="Y403" s="11">
        <f t="shared" si="26"/>
        <v>392.64705882352928</v>
      </c>
      <c r="Z403" s="11">
        <f t="shared" si="27"/>
        <v>375.77881628769563</v>
      </c>
    </row>
    <row r="404" spans="18:26">
      <c r="R404">
        <f t="shared" si="28"/>
        <v>2011</v>
      </c>
      <c r="S404" s="10">
        <v>40781</v>
      </c>
      <c r="T404" s="2">
        <v>13.92</v>
      </c>
      <c r="U404" s="13">
        <v>40781</v>
      </c>
      <c r="V404" s="1">
        <v>34042.22</v>
      </c>
      <c r="X404" s="7">
        <f t="shared" si="25"/>
        <v>40781</v>
      </c>
      <c r="Y404" s="11">
        <f t="shared" si="26"/>
        <v>409.41176470588221</v>
      </c>
      <c r="Z404" s="11">
        <f t="shared" si="27"/>
        <v>386.04543562794578</v>
      </c>
    </row>
    <row r="405" spans="18:26">
      <c r="R405">
        <f t="shared" si="28"/>
        <v>2011</v>
      </c>
      <c r="S405" s="10">
        <v>40788</v>
      </c>
      <c r="T405" s="2">
        <v>13.52</v>
      </c>
      <c r="U405" s="13">
        <v>40788</v>
      </c>
      <c r="V405" s="1">
        <v>35134.43</v>
      </c>
      <c r="X405" s="7">
        <f t="shared" si="25"/>
        <v>40788</v>
      </c>
      <c r="Y405" s="11">
        <f t="shared" si="26"/>
        <v>397.64705882352928</v>
      </c>
      <c r="Z405" s="11">
        <f t="shared" si="27"/>
        <v>398.43131073383483</v>
      </c>
    </row>
    <row r="406" spans="18:26">
      <c r="R406">
        <f t="shared" si="28"/>
        <v>2011</v>
      </c>
      <c r="S406" s="10">
        <v>40795</v>
      </c>
      <c r="T406" s="2">
        <v>12.97</v>
      </c>
      <c r="U406" s="13">
        <v>40795</v>
      </c>
      <c r="V406" s="1">
        <v>33812.620000000003</v>
      </c>
      <c r="X406" s="7">
        <f t="shared" si="25"/>
        <v>40795</v>
      </c>
      <c r="Y406" s="11">
        <f t="shared" si="26"/>
        <v>381.47058823529403</v>
      </c>
      <c r="Z406" s="11">
        <f t="shared" si="27"/>
        <v>383.44172670355204</v>
      </c>
    </row>
    <row r="407" spans="18:26">
      <c r="R407">
        <f t="shared" si="28"/>
        <v>2011</v>
      </c>
      <c r="S407" s="10">
        <v>40802</v>
      </c>
      <c r="T407" s="2">
        <v>13.16</v>
      </c>
      <c r="U407" s="13">
        <v>40802</v>
      </c>
      <c r="V407" s="1">
        <v>35181.440000000002</v>
      </c>
      <c r="X407" s="7">
        <f t="shared" si="25"/>
        <v>40802</v>
      </c>
      <c r="Y407" s="11">
        <f t="shared" si="26"/>
        <v>387.05882352941165</v>
      </c>
      <c r="Z407" s="11">
        <f t="shared" si="27"/>
        <v>398.96441333198709</v>
      </c>
    </row>
    <row r="408" spans="18:26">
      <c r="R408">
        <f t="shared" si="28"/>
        <v>2011</v>
      </c>
      <c r="S408" s="10">
        <v>40809</v>
      </c>
      <c r="T408" s="2">
        <v>12.98</v>
      </c>
      <c r="U408" s="13">
        <v>40809</v>
      </c>
      <c r="V408" s="1">
        <v>32588.43</v>
      </c>
      <c r="X408" s="7">
        <f t="shared" si="25"/>
        <v>40809</v>
      </c>
      <c r="Y408" s="11">
        <f t="shared" si="26"/>
        <v>381.76470588235287</v>
      </c>
      <c r="Z408" s="11">
        <f t="shared" si="27"/>
        <v>369.55917257396305</v>
      </c>
    </row>
    <row r="409" spans="18:26">
      <c r="R409">
        <f t="shared" si="28"/>
        <v>2011</v>
      </c>
      <c r="S409" s="10">
        <v>40816</v>
      </c>
      <c r="T409" s="2">
        <v>13.29</v>
      </c>
      <c r="U409" s="13">
        <v>40816</v>
      </c>
      <c r="V409" s="1">
        <v>33503.279999999999</v>
      </c>
      <c r="X409" s="7">
        <f t="shared" si="25"/>
        <v>40816</v>
      </c>
      <c r="Y409" s="11">
        <f t="shared" si="26"/>
        <v>390.88235294117635</v>
      </c>
      <c r="Z409" s="11">
        <f t="shared" si="27"/>
        <v>379.93375057693191</v>
      </c>
    </row>
    <row r="410" spans="18:26">
      <c r="R410">
        <f t="shared" si="28"/>
        <v>2011</v>
      </c>
      <c r="S410" s="10">
        <v>40823</v>
      </c>
      <c r="T410" s="2">
        <v>13.74</v>
      </c>
      <c r="U410" s="13">
        <v>40823</v>
      </c>
      <c r="V410" s="1">
        <v>33005.089999999997</v>
      </c>
      <c r="X410" s="7">
        <f t="shared" si="25"/>
        <v>40823</v>
      </c>
      <c r="Y410" s="11">
        <f t="shared" si="26"/>
        <v>404.11764705882348</v>
      </c>
      <c r="Z410" s="11">
        <f t="shared" si="27"/>
        <v>374.28417849921527</v>
      </c>
    </row>
    <row r="411" spans="18:26">
      <c r="R411">
        <f t="shared" si="28"/>
        <v>2011</v>
      </c>
      <c r="S411" s="10">
        <v>40830</v>
      </c>
      <c r="T411" s="2">
        <v>13.95</v>
      </c>
      <c r="U411" s="13">
        <v>40830</v>
      </c>
      <c r="V411" s="1">
        <v>34848.42</v>
      </c>
      <c r="X411" s="7">
        <f t="shared" si="25"/>
        <v>40830</v>
      </c>
      <c r="Y411" s="11">
        <f t="shared" si="26"/>
        <v>410.29411764705873</v>
      </c>
      <c r="Z411" s="11">
        <f t="shared" si="27"/>
        <v>395.18790137204974</v>
      </c>
    </row>
    <row r="412" spans="18:26">
      <c r="R412">
        <f t="shared" si="28"/>
        <v>2011</v>
      </c>
      <c r="S412" s="10">
        <v>40837</v>
      </c>
      <c r="T412" s="2">
        <v>13.92</v>
      </c>
      <c r="U412" s="13">
        <v>40837</v>
      </c>
      <c r="V412" s="1">
        <v>35020.74</v>
      </c>
      <c r="X412" s="7">
        <f t="shared" si="25"/>
        <v>40837</v>
      </c>
      <c r="Y412" s="11">
        <f t="shared" si="26"/>
        <v>409.41176470588226</v>
      </c>
      <c r="Z412" s="11">
        <f t="shared" si="27"/>
        <v>397.14204388882467</v>
      </c>
    </row>
    <row r="413" spans="18:26">
      <c r="R413">
        <f t="shared" si="28"/>
        <v>2011</v>
      </c>
      <c r="S413" s="10">
        <v>40844</v>
      </c>
      <c r="T413" s="2">
        <v>13.97</v>
      </c>
      <c r="U413" s="13">
        <v>40844</v>
      </c>
      <c r="V413" s="1">
        <v>36708.639999999999</v>
      </c>
      <c r="X413" s="7">
        <f t="shared" si="25"/>
        <v>40844</v>
      </c>
      <c r="Y413" s="11">
        <f t="shared" si="26"/>
        <v>410.88235294117641</v>
      </c>
      <c r="Z413" s="11">
        <f t="shared" si="27"/>
        <v>416.28316014964457</v>
      </c>
    </row>
    <row r="414" spans="18:26">
      <c r="R414">
        <f t="shared" si="28"/>
        <v>2011</v>
      </c>
      <c r="S414" s="10">
        <v>40851</v>
      </c>
      <c r="T414" s="2">
        <v>13.97</v>
      </c>
      <c r="U414" s="13">
        <v>40851</v>
      </c>
      <c r="V414" s="1">
        <v>36689.379999999997</v>
      </c>
      <c r="X414" s="7">
        <f t="shared" si="25"/>
        <v>40851</v>
      </c>
      <c r="Y414" s="11">
        <f t="shared" si="26"/>
        <v>410.88235294117641</v>
      </c>
      <c r="Z414" s="11">
        <f t="shared" si="27"/>
        <v>416.06474798116102</v>
      </c>
    </row>
    <row r="415" spans="18:26">
      <c r="R415">
        <f t="shared" si="28"/>
        <v>2011</v>
      </c>
      <c r="S415" s="10">
        <v>40858</v>
      </c>
      <c r="T415" s="2">
        <v>14.6</v>
      </c>
      <c r="U415" s="13">
        <v>40858</v>
      </c>
      <c r="V415" s="1">
        <v>37555.65</v>
      </c>
      <c r="X415" s="7">
        <f t="shared" si="25"/>
        <v>40858</v>
      </c>
      <c r="Y415" s="11">
        <f t="shared" si="26"/>
        <v>429.41176470588226</v>
      </c>
      <c r="Z415" s="11">
        <f t="shared" si="27"/>
        <v>425.88841927878559</v>
      </c>
    </row>
    <row r="416" spans="18:26">
      <c r="R416">
        <f t="shared" si="28"/>
        <v>2011</v>
      </c>
      <c r="S416" s="10">
        <v>40865</v>
      </c>
      <c r="T416" s="2">
        <v>13.61</v>
      </c>
      <c r="U416" s="13">
        <v>40865</v>
      </c>
      <c r="V416" s="1">
        <v>36284.199999999997</v>
      </c>
      <c r="X416" s="7">
        <f t="shared" si="25"/>
        <v>40865</v>
      </c>
      <c r="Y416" s="11">
        <f t="shared" si="26"/>
        <v>400.29411764705873</v>
      </c>
      <c r="Z416" s="11">
        <f t="shared" si="27"/>
        <v>411.46992750212848</v>
      </c>
    </row>
    <row r="417" spans="18:26">
      <c r="R417">
        <f t="shared" si="28"/>
        <v>2011</v>
      </c>
      <c r="S417" s="10">
        <v>40872</v>
      </c>
      <c r="T417" s="2">
        <v>13.24</v>
      </c>
      <c r="U417" s="13">
        <v>40872</v>
      </c>
      <c r="V417" s="1">
        <v>34573.040000000001</v>
      </c>
      <c r="X417" s="7">
        <f t="shared" si="25"/>
        <v>40872</v>
      </c>
      <c r="Y417" s="11">
        <f t="shared" si="26"/>
        <v>389.41176470588226</v>
      </c>
      <c r="Z417" s="11">
        <f t="shared" si="27"/>
        <v>392.06503829017009</v>
      </c>
    </row>
    <row r="418" spans="18:26">
      <c r="R418">
        <f t="shared" si="28"/>
        <v>2011</v>
      </c>
      <c r="S418" s="10">
        <v>40879</v>
      </c>
      <c r="T418" s="2">
        <v>13.78</v>
      </c>
      <c r="U418" s="13">
        <v>40879</v>
      </c>
      <c r="V418" s="1">
        <v>36756.06</v>
      </c>
      <c r="X418" s="7">
        <f t="shared" si="25"/>
        <v>40879</v>
      </c>
      <c r="Y418" s="11">
        <f t="shared" si="26"/>
        <v>405.29411764705867</v>
      </c>
      <c r="Z418" s="11">
        <f t="shared" si="27"/>
        <v>416.82091222801898</v>
      </c>
    </row>
    <row r="419" spans="18:26">
      <c r="R419">
        <f t="shared" si="28"/>
        <v>2011</v>
      </c>
      <c r="S419" s="10">
        <v>40886</v>
      </c>
      <c r="T419" s="2">
        <v>14.13</v>
      </c>
      <c r="U419" s="13">
        <v>40886</v>
      </c>
      <c r="V419" s="1">
        <v>37227.21</v>
      </c>
      <c r="X419" s="7">
        <f t="shared" si="25"/>
        <v>40886</v>
      </c>
      <c r="Y419" s="11">
        <f t="shared" si="26"/>
        <v>415.58823529411757</v>
      </c>
      <c r="Z419" s="11">
        <f t="shared" si="27"/>
        <v>422.16384541498815</v>
      </c>
    </row>
    <row r="420" spans="18:26">
      <c r="R420">
        <f t="shared" si="28"/>
        <v>2011</v>
      </c>
      <c r="S420" s="10">
        <v>40893</v>
      </c>
      <c r="T420" s="2">
        <v>13.94</v>
      </c>
      <c r="U420" s="13">
        <v>40893</v>
      </c>
      <c r="V420" s="1">
        <v>36054.629999999997</v>
      </c>
      <c r="X420" s="7">
        <f t="shared" si="25"/>
        <v>40893</v>
      </c>
      <c r="Y420" s="11">
        <f t="shared" si="26"/>
        <v>409.99999999999989</v>
      </c>
      <c r="Z420" s="11">
        <f t="shared" si="27"/>
        <v>408.8665587836046</v>
      </c>
    </row>
    <row r="421" spans="18:26">
      <c r="R421">
        <f t="shared" si="28"/>
        <v>2011</v>
      </c>
      <c r="S421" s="10">
        <v>40900</v>
      </c>
      <c r="T421" s="2">
        <v>14.18</v>
      </c>
      <c r="U421" s="13">
        <v>40900</v>
      </c>
      <c r="V421" s="1">
        <v>37041.42</v>
      </c>
      <c r="X421" s="7">
        <f t="shared" si="25"/>
        <v>40900</v>
      </c>
      <c r="Y421" s="11">
        <f t="shared" si="26"/>
        <v>417.05882352941171</v>
      </c>
      <c r="Z421" s="11">
        <f t="shared" si="27"/>
        <v>420.05695046262258</v>
      </c>
    </row>
    <row r="422" spans="18:26">
      <c r="R422">
        <f t="shared" si="28"/>
        <v>2011</v>
      </c>
      <c r="S422" s="10">
        <v>40907</v>
      </c>
      <c r="T422" s="2">
        <v>14.37</v>
      </c>
      <c r="U422" s="13">
        <v>40907</v>
      </c>
      <c r="V422" s="1">
        <v>37077.519999999997</v>
      </c>
      <c r="X422" s="7">
        <f t="shared" si="25"/>
        <v>40907</v>
      </c>
      <c r="Y422" s="11">
        <f t="shared" si="26"/>
        <v>422.64705882352928</v>
      </c>
      <c r="Z422" s="11">
        <f t="shared" si="27"/>
        <v>420.46633152608342</v>
      </c>
    </row>
    <row r="423" spans="18:26">
      <c r="R423">
        <f t="shared" si="28"/>
        <v>2012</v>
      </c>
      <c r="S423" s="10">
        <v>40914</v>
      </c>
      <c r="T423" s="2">
        <v>14.4</v>
      </c>
      <c r="U423" s="13">
        <v>40914</v>
      </c>
      <c r="V423" s="1">
        <v>36804.050000000003</v>
      </c>
      <c r="X423" s="7">
        <f t="shared" si="25"/>
        <v>40914</v>
      </c>
      <c r="Y423" s="11">
        <f t="shared" si="26"/>
        <v>423.52941176470574</v>
      </c>
      <c r="Z423" s="11">
        <f t="shared" si="27"/>
        <v>417.36512821792161</v>
      </c>
    </row>
    <row r="424" spans="18:26">
      <c r="R424">
        <f t="shared" si="28"/>
        <v>2012</v>
      </c>
      <c r="S424" s="10">
        <v>40921</v>
      </c>
      <c r="T424" s="2">
        <v>14.4</v>
      </c>
      <c r="U424" s="13">
        <v>40921</v>
      </c>
      <c r="V424" s="1">
        <v>36548.559999999998</v>
      </c>
      <c r="X424" s="7">
        <f t="shared" si="25"/>
        <v>40921</v>
      </c>
      <c r="Y424" s="11">
        <f t="shared" si="26"/>
        <v>423.52941176470574</v>
      </c>
      <c r="Z424" s="11">
        <f t="shared" si="27"/>
        <v>414.46782162779363</v>
      </c>
    </row>
    <row r="425" spans="18:26">
      <c r="R425">
        <f t="shared" si="28"/>
        <v>2012</v>
      </c>
      <c r="S425" s="10">
        <v>40928</v>
      </c>
      <c r="T425" s="2">
        <v>14.41</v>
      </c>
      <c r="U425" s="13">
        <v>40928</v>
      </c>
      <c r="V425" s="1">
        <v>37384.21</v>
      </c>
      <c r="X425" s="7">
        <f t="shared" si="25"/>
        <v>40928</v>
      </c>
      <c r="Y425" s="11">
        <f t="shared" si="26"/>
        <v>423.82352941176453</v>
      </c>
      <c r="Z425" s="11">
        <f t="shared" si="27"/>
        <v>423.94425613419457</v>
      </c>
    </row>
    <row r="426" spans="18:26">
      <c r="R426">
        <f t="shared" si="28"/>
        <v>2012</v>
      </c>
      <c r="S426" s="10">
        <v>40935</v>
      </c>
      <c r="T426" s="2">
        <v>14.07</v>
      </c>
      <c r="U426" s="13">
        <v>40935</v>
      </c>
      <c r="V426" s="1">
        <v>37184.71</v>
      </c>
      <c r="X426" s="7">
        <f t="shared" si="25"/>
        <v>40935</v>
      </c>
      <c r="Y426" s="11">
        <f t="shared" si="26"/>
        <v>413.82352941176458</v>
      </c>
      <c r="Z426" s="11">
        <f t="shared" si="27"/>
        <v>421.68188709927927</v>
      </c>
    </row>
    <row r="427" spans="18:26">
      <c r="R427">
        <f t="shared" si="28"/>
        <v>2012</v>
      </c>
      <c r="S427" s="10">
        <v>40942</v>
      </c>
      <c r="T427" s="2">
        <v>14.41</v>
      </c>
      <c r="U427" s="13">
        <v>40942</v>
      </c>
      <c r="V427" s="1">
        <v>38092.81</v>
      </c>
      <c r="X427" s="7">
        <f t="shared" si="25"/>
        <v>40942</v>
      </c>
      <c r="Y427" s="11">
        <f t="shared" si="26"/>
        <v>423.82352941176458</v>
      </c>
      <c r="Z427" s="11">
        <f t="shared" si="27"/>
        <v>431.97991878151788</v>
      </c>
    </row>
    <row r="428" spans="18:26">
      <c r="R428">
        <f t="shared" si="28"/>
        <v>2012</v>
      </c>
      <c r="S428" s="10">
        <v>40949</v>
      </c>
      <c r="T428" s="2">
        <v>14.48</v>
      </c>
      <c r="U428" s="13">
        <v>40949</v>
      </c>
      <c r="V428" s="1">
        <v>38149.22</v>
      </c>
      <c r="X428" s="7">
        <f t="shared" si="25"/>
        <v>40949</v>
      </c>
      <c r="Y428" s="11">
        <f t="shared" si="26"/>
        <v>425.88235294117641</v>
      </c>
      <c r="Z428" s="11">
        <f t="shared" si="27"/>
        <v>432.61961921890924</v>
      </c>
    </row>
    <row r="429" spans="18:26">
      <c r="R429">
        <f t="shared" si="28"/>
        <v>2012</v>
      </c>
      <c r="S429" s="10">
        <v>40956</v>
      </c>
      <c r="T429" s="2">
        <v>14.04</v>
      </c>
      <c r="U429" s="13">
        <v>40956</v>
      </c>
      <c r="V429" s="1">
        <v>37914.699999999997</v>
      </c>
      <c r="X429" s="7">
        <f t="shared" si="25"/>
        <v>40956</v>
      </c>
      <c r="Y429" s="11">
        <f t="shared" si="26"/>
        <v>412.94117647058812</v>
      </c>
      <c r="Z429" s="11">
        <f t="shared" si="27"/>
        <v>429.96011653184985</v>
      </c>
    </row>
    <row r="430" spans="18:26">
      <c r="R430">
        <f t="shared" si="28"/>
        <v>2012</v>
      </c>
      <c r="S430" s="10">
        <v>40963</v>
      </c>
      <c r="T430" s="2">
        <v>13.75</v>
      </c>
      <c r="U430" s="13">
        <v>40963</v>
      </c>
      <c r="V430" s="1">
        <v>37945.22</v>
      </c>
      <c r="X430" s="7">
        <f t="shared" si="25"/>
        <v>40963</v>
      </c>
      <c r="Y430" s="11">
        <f t="shared" si="26"/>
        <v>404.41176470588226</v>
      </c>
      <c r="Z430" s="11">
        <f t="shared" si="27"/>
        <v>430.30621930350708</v>
      </c>
    </row>
    <row r="431" spans="18:26">
      <c r="R431">
        <f t="shared" si="28"/>
        <v>2012</v>
      </c>
      <c r="S431" s="10">
        <v>40970</v>
      </c>
      <c r="T431" s="2">
        <v>14.28</v>
      </c>
      <c r="U431" s="13">
        <v>40970</v>
      </c>
      <c r="V431" s="1">
        <v>38327.43</v>
      </c>
      <c r="X431" s="7">
        <f t="shared" si="25"/>
        <v>40970</v>
      </c>
      <c r="Y431" s="11">
        <f t="shared" si="26"/>
        <v>419.99999999999989</v>
      </c>
      <c r="Z431" s="11">
        <f t="shared" si="27"/>
        <v>434.64055548814366</v>
      </c>
    </row>
    <row r="432" spans="18:26">
      <c r="R432">
        <f t="shared" si="28"/>
        <v>2012</v>
      </c>
      <c r="S432" s="10">
        <v>40977</v>
      </c>
      <c r="T432" s="2">
        <v>14.08</v>
      </c>
      <c r="U432" s="13">
        <v>40977</v>
      </c>
      <c r="V432" s="1">
        <v>37691.01</v>
      </c>
      <c r="X432" s="7">
        <f t="shared" si="25"/>
        <v>40977</v>
      </c>
      <c r="Y432" s="11">
        <f t="shared" si="26"/>
        <v>414.11764705882342</v>
      </c>
      <c r="Z432" s="11">
        <f t="shared" si="27"/>
        <v>427.42342816382887</v>
      </c>
    </row>
    <row r="433" spans="18:26">
      <c r="R433">
        <f t="shared" si="28"/>
        <v>2012</v>
      </c>
      <c r="S433" s="10">
        <v>40984</v>
      </c>
      <c r="T433" s="2">
        <v>14.44</v>
      </c>
      <c r="U433" s="13">
        <v>40984</v>
      </c>
      <c r="V433" s="1">
        <v>38258.449999999997</v>
      </c>
      <c r="X433" s="7">
        <f t="shared" si="25"/>
        <v>40984</v>
      </c>
      <c r="Y433" s="11">
        <f t="shared" si="26"/>
        <v>424.7058823529411</v>
      </c>
      <c r="Z433" s="11">
        <f t="shared" si="27"/>
        <v>433.85830879125911</v>
      </c>
    </row>
    <row r="434" spans="18:26">
      <c r="R434">
        <f t="shared" si="28"/>
        <v>2012</v>
      </c>
      <c r="S434" s="10">
        <v>40991</v>
      </c>
      <c r="T434" s="2">
        <v>14.67</v>
      </c>
      <c r="U434" s="13">
        <v>40991</v>
      </c>
      <c r="V434" s="1">
        <v>38334.9</v>
      </c>
      <c r="X434" s="7">
        <f t="shared" si="25"/>
        <v>40991</v>
      </c>
      <c r="Y434" s="11">
        <f t="shared" si="26"/>
        <v>431.47058823529409</v>
      </c>
      <c r="Z434" s="11">
        <f t="shared" si="27"/>
        <v>434.72526674975177</v>
      </c>
    </row>
    <row r="435" spans="18:26">
      <c r="R435">
        <f t="shared" si="28"/>
        <v>2012</v>
      </c>
      <c r="S435" s="10">
        <v>40998</v>
      </c>
      <c r="T435" s="2">
        <v>16.46</v>
      </c>
      <c r="U435" s="13">
        <v>40998</v>
      </c>
      <c r="V435" s="1">
        <v>39521.24</v>
      </c>
      <c r="X435" s="7">
        <f t="shared" si="25"/>
        <v>40998</v>
      </c>
      <c r="Y435" s="11">
        <f t="shared" si="26"/>
        <v>484.11764705882354</v>
      </c>
      <c r="Z435" s="11">
        <f t="shared" si="27"/>
        <v>448.17859447346819</v>
      </c>
    </row>
    <row r="436" spans="18:26">
      <c r="R436">
        <f t="shared" si="28"/>
        <v>2012</v>
      </c>
      <c r="S436" s="10">
        <v>41005</v>
      </c>
      <c r="T436" s="2">
        <v>15.82</v>
      </c>
      <c r="U436" s="13">
        <v>41005</v>
      </c>
      <c r="V436" s="1">
        <v>39398.879999999997</v>
      </c>
      <c r="X436" s="7">
        <f t="shared" si="25"/>
        <v>41005</v>
      </c>
      <c r="Y436" s="11">
        <f t="shared" si="26"/>
        <v>465.29411764705884</v>
      </c>
      <c r="Z436" s="11">
        <f t="shared" si="27"/>
        <v>446.79100813205343</v>
      </c>
    </row>
    <row r="437" spans="18:26">
      <c r="R437">
        <f t="shared" si="28"/>
        <v>2012</v>
      </c>
      <c r="S437" s="10">
        <v>41012</v>
      </c>
      <c r="T437" s="2">
        <v>15.57</v>
      </c>
      <c r="U437" s="13">
        <v>41012</v>
      </c>
      <c r="V437" s="1">
        <v>39136.99</v>
      </c>
      <c r="X437" s="7">
        <f t="shared" si="25"/>
        <v>41012</v>
      </c>
      <c r="Y437" s="11">
        <f t="shared" si="26"/>
        <v>457.94117647058823</v>
      </c>
      <c r="Z437" s="11">
        <f t="shared" si="27"/>
        <v>443.82112428967764</v>
      </c>
    </row>
    <row r="438" spans="18:26">
      <c r="R438">
        <f t="shared" si="28"/>
        <v>2012</v>
      </c>
      <c r="S438" s="10">
        <v>41019</v>
      </c>
      <c r="T438" s="2">
        <v>15.64</v>
      </c>
      <c r="U438" s="13">
        <v>41019</v>
      </c>
      <c r="V438" s="1">
        <v>39354.86</v>
      </c>
      <c r="X438" s="7">
        <f t="shared" si="25"/>
        <v>41019</v>
      </c>
      <c r="Y438" s="11">
        <f t="shared" si="26"/>
        <v>460.00000000000006</v>
      </c>
      <c r="Z438" s="11">
        <f t="shared" si="27"/>
        <v>446.29181271893577</v>
      </c>
    </row>
    <row r="439" spans="18:26">
      <c r="R439">
        <f t="shared" si="28"/>
        <v>2012</v>
      </c>
      <c r="S439" s="10">
        <v>41026</v>
      </c>
      <c r="T439" s="2">
        <v>15.4</v>
      </c>
      <c r="U439" s="13">
        <v>41026</v>
      </c>
      <c r="V439" s="1">
        <v>39324.14</v>
      </c>
      <c r="X439" s="7">
        <f t="shared" si="25"/>
        <v>41026</v>
      </c>
      <c r="Y439" s="11">
        <f t="shared" si="26"/>
        <v>452.94117647058829</v>
      </c>
      <c r="Z439" s="11">
        <f t="shared" si="27"/>
        <v>445.94344190814581</v>
      </c>
    </row>
    <row r="440" spans="18:26">
      <c r="R440">
        <f t="shared" si="28"/>
        <v>2012</v>
      </c>
      <c r="S440" s="10">
        <v>41033</v>
      </c>
      <c r="T440" s="2">
        <v>15.29</v>
      </c>
      <c r="U440" s="13">
        <v>41033</v>
      </c>
      <c r="V440" s="1">
        <v>39408.61</v>
      </c>
      <c r="X440" s="7">
        <f t="shared" si="25"/>
        <v>41033</v>
      </c>
      <c r="Y440" s="11">
        <f t="shared" si="26"/>
        <v>449.70588235294122</v>
      </c>
      <c r="Z440" s="11">
        <f t="shared" si="27"/>
        <v>446.90134823586163</v>
      </c>
    </row>
    <row r="441" spans="18:26">
      <c r="R441">
        <f t="shared" si="28"/>
        <v>2012</v>
      </c>
      <c r="S441" s="10">
        <v>41040</v>
      </c>
      <c r="T441" s="2">
        <v>14.65</v>
      </c>
      <c r="U441" s="13">
        <v>41040</v>
      </c>
      <c r="V441" s="1">
        <v>38888.79</v>
      </c>
      <c r="X441" s="7">
        <f t="shared" si="25"/>
        <v>41040</v>
      </c>
      <c r="Y441" s="11">
        <f t="shared" si="26"/>
        <v>430.88235294117658</v>
      </c>
      <c r="Z441" s="11">
        <f t="shared" si="27"/>
        <v>441.00648772593837</v>
      </c>
    </row>
    <row r="442" spans="18:26">
      <c r="R442">
        <f t="shared" si="28"/>
        <v>2012</v>
      </c>
      <c r="S442" s="10">
        <v>41047</v>
      </c>
      <c r="T442" s="2">
        <v>14.66</v>
      </c>
      <c r="U442" s="13">
        <v>41047</v>
      </c>
      <c r="V442" s="1">
        <v>36875.33</v>
      </c>
      <c r="X442" s="7">
        <f t="shared" si="25"/>
        <v>41047</v>
      </c>
      <c r="Y442" s="11">
        <f t="shared" si="26"/>
        <v>431.17647058823536</v>
      </c>
      <c r="Z442" s="11">
        <f t="shared" si="27"/>
        <v>418.17345736483253</v>
      </c>
    </row>
    <row r="443" spans="18:26">
      <c r="R443">
        <f t="shared" si="28"/>
        <v>2012</v>
      </c>
      <c r="S443" s="10">
        <v>41054</v>
      </c>
      <c r="T443" s="2">
        <v>14.47</v>
      </c>
      <c r="U443" s="13">
        <v>41054</v>
      </c>
      <c r="V443" s="1">
        <v>37486.25</v>
      </c>
      <c r="X443" s="7">
        <f t="shared" si="25"/>
        <v>41054</v>
      </c>
      <c r="Y443" s="11">
        <f t="shared" si="26"/>
        <v>425.58823529411768</v>
      </c>
      <c r="Z443" s="11">
        <f t="shared" si="27"/>
        <v>425.10140969972207</v>
      </c>
    </row>
    <row r="444" spans="18:26">
      <c r="R444">
        <f t="shared" si="28"/>
        <v>2012</v>
      </c>
      <c r="S444" s="10">
        <v>41061</v>
      </c>
      <c r="T444" s="2">
        <v>14.4</v>
      </c>
      <c r="U444" s="13">
        <v>41061</v>
      </c>
      <c r="V444" s="1">
        <v>37182.370000000003</v>
      </c>
      <c r="X444" s="7">
        <f t="shared" si="25"/>
        <v>41061</v>
      </c>
      <c r="Y444" s="11">
        <f t="shared" si="26"/>
        <v>423.52941176470591</v>
      </c>
      <c r="Z444" s="11">
        <f t="shared" si="27"/>
        <v>421.655351041426</v>
      </c>
    </row>
    <row r="445" spans="18:26">
      <c r="R445">
        <f t="shared" si="28"/>
        <v>2012</v>
      </c>
      <c r="S445" s="10">
        <v>41068</v>
      </c>
      <c r="T445" s="2">
        <v>14.24</v>
      </c>
      <c r="U445" s="13">
        <v>41068</v>
      </c>
      <c r="V445" s="1">
        <v>37323.910000000003</v>
      </c>
      <c r="X445" s="7">
        <f t="shared" si="25"/>
        <v>41068</v>
      </c>
      <c r="Y445" s="11">
        <f t="shared" si="26"/>
        <v>418.82352941176475</v>
      </c>
      <c r="Z445" s="11">
        <f t="shared" si="27"/>
        <v>423.2604423356712</v>
      </c>
    </row>
    <row r="446" spans="18:26">
      <c r="R446">
        <f t="shared" si="28"/>
        <v>2012</v>
      </c>
      <c r="S446" s="10">
        <v>41075</v>
      </c>
      <c r="T446" s="2">
        <v>14.05</v>
      </c>
      <c r="U446" s="13">
        <v>41075</v>
      </c>
      <c r="V446" s="1">
        <v>37738.58</v>
      </c>
      <c r="X446" s="7">
        <f t="shared" si="25"/>
        <v>41075</v>
      </c>
      <c r="Y446" s="11">
        <f t="shared" si="26"/>
        <v>413.23529411764707</v>
      </c>
      <c r="Z446" s="11">
        <f t="shared" si="27"/>
        <v>427.96288127155253</v>
      </c>
    </row>
    <row r="447" spans="18:26">
      <c r="R447">
        <f t="shared" si="28"/>
        <v>2012</v>
      </c>
      <c r="S447" s="10">
        <v>41082</v>
      </c>
      <c r="T447" s="2">
        <v>14.79</v>
      </c>
      <c r="U447" s="13">
        <v>41082</v>
      </c>
      <c r="V447" s="1">
        <v>39071.5</v>
      </c>
      <c r="X447" s="7">
        <f t="shared" si="25"/>
        <v>41082</v>
      </c>
      <c r="Y447" s="11">
        <f t="shared" si="26"/>
        <v>434.99999999999994</v>
      </c>
      <c r="Z447" s="11">
        <f t="shared" si="27"/>
        <v>443.07845487565942</v>
      </c>
    </row>
    <row r="448" spans="18:26">
      <c r="R448">
        <f t="shared" si="28"/>
        <v>2012</v>
      </c>
      <c r="S448" s="10">
        <v>41089</v>
      </c>
      <c r="T448" s="2">
        <v>15.18</v>
      </c>
      <c r="U448" s="13">
        <v>41089</v>
      </c>
      <c r="V448" s="1">
        <v>40199.550000000003</v>
      </c>
      <c r="X448" s="7">
        <f t="shared" si="25"/>
        <v>41089</v>
      </c>
      <c r="Y448" s="11">
        <f t="shared" si="26"/>
        <v>446.47058823529409</v>
      </c>
      <c r="Z448" s="11">
        <f t="shared" si="27"/>
        <v>455.87076259413681</v>
      </c>
    </row>
    <row r="449" spans="18:26">
      <c r="R449">
        <f t="shared" si="28"/>
        <v>2012</v>
      </c>
      <c r="S449" s="10">
        <v>41096</v>
      </c>
      <c r="T449" s="2">
        <v>15.1</v>
      </c>
      <c r="U449" s="13">
        <v>41096</v>
      </c>
      <c r="V449" s="1">
        <v>39831.65</v>
      </c>
      <c r="X449" s="7">
        <f t="shared" si="25"/>
        <v>41096</v>
      </c>
      <c r="Y449" s="11">
        <f t="shared" si="26"/>
        <v>444.11764705882348</v>
      </c>
      <c r="Z449" s="11">
        <f t="shared" si="27"/>
        <v>451.69870460944833</v>
      </c>
    </row>
    <row r="450" spans="18:26">
      <c r="R450">
        <f t="shared" si="28"/>
        <v>2012</v>
      </c>
      <c r="S450" s="10">
        <v>41103</v>
      </c>
      <c r="T450" s="2">
        <v>15.36</v>
      </c>
      <c r="U450" s="13">
        <v>41103</v>
      </c>
      <c r="V450" s="1">
        <v>40498.47</v>
      </c>
      <c r="X450" s="7">
        <f t="shared" si="25"/>
        <v>41103</v>
      </c>
      <c r="Y450" s="11">
        <f t="shared" si="26"/>
        <v>451.76470588235287</v>
      </c>
      <c r="Z450" s="11">
        <f t="shared" si="27"/>
        <v>459.26057388194079</v>
      </c>
    </row>
    <row r="451" spans="18:26">
      <c r="R451">
        <f t="shared" si="28"/>
        <v>2012</v>
      </c>
      <c r="S451" s="10">
        <v>41110</v>
      </c>
      <c r="T451" s="2">
        <v>15.89</v>
      </c>
      <c r="U451" s="13">
        <v>41110</v>
      </c>
      <c r="V451" s="1">
        <v>40808.730000000003</v>
      </c>
      <c r="X451" s="7">
        <f t="shared" si="25"/>
        <v>41110</v>
      </c>
      <c r="Y451" s="11">
        <f t="shared" si="26"/>
        <v>467.35294117647061</v>
      </c>
      <c r="Z451" s="11">
        <f t="shared" si="27"/>
        <v>462.7789829885715</v>
      </c>
    </row>
    <row r="452" spans="18:26">
      <c r="R452">
        <f t="shared" si="28"/>
        <v>2012</v>
      </c>
      <c r="S452" s="10">
        <v>41117</v>
      </c>
      <c r="T452" s="2">
        <v>15.97</v>
      </c>
      <c r="U452" s="13">
        <v>41117</v>
      </c>
      <c r="V452" s="1">
        <v>41476.480000000003</v>
      </c>
      <c r="X452" s="7">
        <f t="shared" si="25"/>
        <v>41117</v>
      </c>
      <c r="Y452" s="11">
        <f t="shared" si="26"/>
        <v>469.70588235294116</v>
      </c>
      <c r="Z452" s="11">
        <f t="shared" si="27"/>
        <v>470.35139864303113</v>
      </c>
    </row>
    <row r="453" spans="18:26">
      <c r="R453">
        <f t="shared" si="28"/>
        <v>2012</v>
      </c>
      <c r="S453" s="10">
        <v>41124</v>
      </c>
      <c r="T453" s="2">
        <v>16.010000000000002</v>
      </c>
      <c r="U453" s="13">
        <v>41124</v>
      </c>
      <c r="V453" s="1">
        <v>40998.400000000001</v>
      </c>
      <c r="X453" s="7">
        <f t="shared" ref="X453:X516" si="29">+S453</f>
        <v>41124</v>
      </c>
      <c r="Y453" s="11">
        <f t="shared" si="26"/>
        <v>470.88235294117652</v>
      </c>
      <c r="Z453" s="11">
        <f t="shared" si="27"/>
        <v>464.92987790011227</v>
      </c>
    </row>
    <row r="454" spans="18:26">
      <c r="R454">
        <f t="shared" si="28"/>
        <v>2012</v>
      </c>
      <c r="S454" s="10">
        <v>41131</v>
      </c>
      <c r="T454" s="2">
        <v>15.83</v>
      </c>
      <c r="U454" s="13">
        <v>41131</v>
      </c>
      <c r="V454" s="1">
        <v>40850</v>
      </c>
      <c r="X454" s="7">
        <f t="shared" si="29"/>
        <v>41131</v>
      </c>
      <c r="Y454" s="11">
        <f t="shared" ref="Y454:Y517" si="30">+Y453*(T454/T453)</f>
        <v>465.58823529411768</v>
      </c>
      <c r="Z454" s="11">
        <f t="shared" ref="Z454:Z517" si="31">+Z453*(V454/V453)</f>
        <v>463.24699286361385</v>
      </c>
    </row>
    <row r="455" spans="18:26">
      <c r="R455">
        <f t="shared" ref="R455:R518" si="32">+YEAR(S455)</f>
        <v>2012</v>
      </c>
      <c r="S455" s="10">
        <v>41138</v>
      </c>
      <c r="T455" s="2">
        <v>15.9</v>
      </c>
      <c r="U455" s="13">
        <v>41138</v>
      </c>
      <c r="V455" s="1">
        <v>40547.49</v>
      </c>
      <c r="X455" s="7">
        <f t="shared" si="29"/>
        <v>41138</v>
      </c>
      <c r="Y455" s="11">
        <f t="shared" si="30"/>
        <v>467.64705882352939</v>
      </c>
      <c r="Z455" s="11">
        <f t="shared" si="31"/>
        <v>459.81647027337704</v>
      </c>
    </row>
    <row r="456" spans="18:26">
      <c r="R456">
        <f t="shared" si="32"/>
        <v>2012</v>
      </c>
      <c r="S456" s="10">
        <v>41145</v>
      </c>
      <c r="T456" s="2">
        <v>16.02</v>
      </c>
      <c r="U456" s="13">
        <v>41145</v>
      </c>
      <c r="V456" s="1">
        <v>40211.410000000003</v>
      </c>
      <c r="X456" s="7">
        <f t="shared" si="29"/>
        <v>41145</v>
      </c>
      <c r="Y456" s="11">
        <f t="shared" si="30"/>
        <v>471.17647058823525</v>
      </c>
      <c r="Z456" s="11">
        <f t="shared" si="31"/>
        <v>456.00525731470873</v>
      </c>
    </row>
    <row r="457" spans="18:26">
      <c r="R457">
        <f t="shared" si="32"/>
        <v>2012</v>
      </c>
      <c r="S457" s="10">
        <v>41152</v>
      </c>
      <c r="T457" s="2">
        <v>15.62</v>
      </c>
      <c r="U457" s="13">
        <v>41152</v>
      </c>
      <c r="V457" s="1">
        <v>39421.65</v>
      </c>
      <c r="X457" s="7">
        <f t="shared" si="29"/>
        <v>41152</v>
      </c>
      <c r="Y457" s="11">
        <f t="shared" si="30"/>
        <v>459.41176470588226</v>
      </c>
      <c r="Z457" s="11">
        <f t="shared" si="31"/>
        <v>447.0492243873166</v>
      </c>
    </row>
    <row r="458" spans="18:26">
      <c r="R458">
        <f t="shared" si="32"/>
        <v>2012</v>
      </c>
      <c r="S458" s="10">
        <v>41159</v>
      </c>
      <c r="T458" s="2">
        <v>16.55</v>
      </c>
      <c r="U458" s="13">
        <v>41159</v>
      </c>
      <c r="V458" s="1">
        <v>40043.870000000003</v>
      </c>
      <c r="X458" s="7">
        <f t="shared" si="29"/>
        <v>41159</v>
      </c>
      <c r="Y458" s="11">
        <f t="shared" si="30"/>
        <v>486.76470588235293</v>
      </c>
      <c r="Z458" s="11">
        <f t="shared" si="31"/>
        <v>454.10532093320643</v>
      </c>
    </row>
    <row r="459" spans="18:26">
      <c r="R459">
        <f t="shared" si="32"/>
        <v>2012</v>
      </c>
      <c r="S459" s="10">
        <v>41166</v>
      </c>
      <c r="T459" s="2">
        <v>17.73</v>
      </c>
      <c r="U459" s="13">
        <v>41166</v>
      </c>
      <c r="V459" s="1">
        <v>40693.47</v>
      </c>
      <c r="X459" s="7">
        <f t="shared" si="29"/>
        <v>41166</v>
      </c>
      <c r="Y459" s="11">
        <f t="shared" si="30"/>
        <v>521.47058823529403</v>
      </c>
      <c r="Z459" s="11">
        <f t="shared" si="31"/>
        <v>461.4719120363693</v>
      </c>
    </row>
    <row r="460" spans="18:26">
      <c r="R460">
        <f t="shared" si="32"/>
        <v>2012</v>
      </c>
      <c r="S460" s="10">
        <v>41173</v>
      </c>
      <c r="T460" s="2">
        <v>16.850000000000001</v>
      </c>
      <c r="U460" s="13">
        <v>41173</v>
      </c>
      <c r="V460" s="1">
        <v>40338.699999999997</v>
      </c>
      <c r="X460" s="7">
        <f t="shared" si="29"/>
        <v>41173</v>
      </c>
      <c r="Y460" s="11">
        <f t="shared" si="30"/>
        <v>495.58823529411762</v>
      </c>
      <c r="Z460" s="11">
        <f t="shared" si="31"/>
        <v>457.44875082074566</v>
      </c>
    </row>
    <row r="461" spans="18:26">
      <c r="R461">
        <f t="shared" si="32"/>
        <v>2012</v>
      </c>
      <c r="S461" s="10">
        <v>41180</v>
      </c>
      <c r="T461" s="2">
        <v>18.02</v>
      </c>
      <c r="U461" s="13">
        <v>41180</v>
      </c>
      <c r="V461" s="1">
        <v>40866.959999999999</v>
      </c>
      <c r="X461" s="7">
        <f t="shared" si="29"/>
        <v>41180</v>
      </c>
      <c r="Y461" s="11">
        <f t="shared" si="30"/>
        <v>529.99999999999989</v>
      </c>
      <c r="Z461" s="11">
        <f t="shared" si="31"/>
        <v>463.43932258207082</v>
      </c>
    </row>
    <row r="462" spans="18:26">
      <c r="R462">
        <f t="shared" si="32"/>
        <v>2012</v>
      </c>
      <c r="S462" s="10">
        <v>41187</v>
      </c>
      <c r="T462" s="2">
        <v>18.260000000000002</v>
      </c>
      <c r="U462" s="13">
        <v>41187</v>
      </c>
      <c r="V462" s="1">
        <v>41934.080000000002</v>
      </c>
      <c r="X462" s="7">
        <f t="shared" si="29"/>
        <v>41187</v>
      </c>
      <c r="Y462" s="11">
        <f t="shared" si="30"/>
        <v>537.05882352941171</v>
      </c>
      <c r="Z462" s="11">
        <f t="shared" si="31"/>
        <v>475.54067217875678</v>
      </c>
    </row>
    <row r="463" spans="18:26">
      <c r="R463">
        <f t="shared" si="32"/>
        <v>2012</v>
      </c>
      <c r="S463" s="10">
        <v>41194</v>
      </c>
      <c r="T463" s="2">
        <v>18.36</v>
      </c>
      <c r="U463" s="13">
        <v>41194</v>
      </c>
      <c r="V463" s="1">
        <v>41665.480000000003</v>
      </c>
      <c r="X463" s="7">
        <f t="shared" si="29"/>
        <v>41194</v>
      </c>
      <c r="Y463" s="11">
        <f t="shared" si="30"/>
        <v>539.99999999999989</v>
      </c>
      <c r="Z463" s="11">
        <f t="shared" si="31"/>
        <v>472.4946956234773</v>
      </c>
    </row>
    <row r="464" spans="18:26">
      <c r="R464">
        <f t="shared" si="32"/>
        <v>2012</v>
      </c>
      <c r="S464" s="10">
        <v>41201</v>
      </c>
      <c r="T464" s="2">
        <v>19.559999999999999</v>
      </c>
      <c r="U464" s="13">
        <v>41201</v>
      </c>
      <c r="V464" s="1">
        <v>42386.83</v>
      </c>
      <c r="X464" s="7">
        <f t="shared" si="29"/>
        <v>41201</v>
      </c>
      <c r="Y464" s="11">
        <f t="shared" si="30"/>
        <v>575.29411764705867</v>
      </c>
      <c r="Z464" s="11">
        <f t="shared" si="31"/>
        <v>480.6749457655132</v>
      </c>
    </row>
    <row r="465" spans="18:26">
      <c r="R465">
        <f t="shared" si="32"/>
        <v>2012</v>
      </c>
      <c r="S465" s="10">
        <v>41208</v>
      </c>
      <c r="T465" s="2">
        <v>19</v>
      </c>
      <c r="U465" s="13">
        <v>41208</v>
      </c>
      <c r="V465" s="1">
        <v>41836.92</v>
      </c>
      <c r="X465" s="7">
        <f t="shared" si="29"/>
        <v>41208</v>
      </c>
      <c r="Y465" s="11">
        <f t="shared" si="30"/>
        <v>558.82352941176453</v>
      </c>
      <c r="Z465" s="11">
        <f t="shared" si="31"/>
        <v>474.43885876806814</v>
      </c>
    </row>
    <row r="466" spans="18:26">
      <c r="R466">
        <f t="shared" si="32"/>
        <v>2012</v>
      </c>
      <c r="S466" s="10">
        <v>41215</v>
      </c>
      <c r="T466" s="2">
        <v>19.22</v>
      </c>
      <c r="U466" s="13">
        <v>41215</v>
      </c>
      <c r="V466" s="1">
        <v>41761.78</v>
      </c>
      <c r="X466" s="7">
        <f t="shared" si="29"/>
        <v>41215</v>
      </c>
      <c r="Y466" s="11">
        <f t="shared" si="30"/>
        <v>565.29411764705856</v>
      </c>
      <c r="Z466" s="11">
        <f t="shared" si="31"/>
        <v>473.58675646589501</v>
      </c>
    </row>
    <row r="467" spans="18:26">
      <c r="R467">
        <f t="shared" si="32"/>
        <v>2012</v>
      </c>
      <c r="S467" s="10">
        <v>41222</v>
      </c>
      <c r="T467" s="2">
        <v>18.38</v>
      </c>
      <c r="U467" s="13">
        <v>41222</v>
      </c>
      <c r="V467" s="1">
        <v>40677.07</v>
      </c>
      <c r="X467" s="7">
        <f t="shared" si="29"/>
        <v>41222</v>
      </c>
      <c r="Y467" s="11">
        <f t="shared" si="30"/>
        <v>540.58823529411734</v>
      </c>
      <c r="Z467" s="11">
        <f t="shared" si="31"/>
        <v>461.28593282748398</v>
      </c>
    </row>
    <row r="468" spans="18:26">
      <c r="R468">
        <f t="shared" si="32"/>
        <v>2012</v>
      </c>
      <c r="S468" s="10">
        <v>41229</v>
      </c>
      <c r="T468" s="2">
        <v>18.25</v>
      </c>
      <c r="U468" s="13">
        <v>41229</v>
      </c>
      <c r="V468" s="1">
        <v>40830.6</v>
      </c>
      <c r="X468" s="7">
        <f t="shared" si="29"/>
        <v>41229</v>
      </c>
      <c r="Y468" s="11">
        <f t="shared" si="30"/>
        <v>536.7647058823527</v>
      </c>
      <c r="Z468" s="11">
        <f t="shared" si="31"/>
        <v>463.02699306773735</v>
      </c>
    </row>
    <row r="469" spans="18:26">
      <c r="R469">
        <f t="shared" si="32"/>
        <v>2012</v>
      </c>
      <c r="S469" s="10">
        <v>41236</v>
      </c>
      <c r="T469" s="2">
        <v>19.600000000000001</v>
      </c>
      <c r="U469" s="13">
        <v>41236</v>
      </c>
      <c r="V469" s="1">
        <v>41919.550000000003</v>
      </c>
      <c r="X469" s="7">
        <f t="shared" si="29"/>
        <v>41236</v>
      </c>
      <c r="Y469" s="11">
        <f t="shared" si="30"/>
        <v>576.47058823529392</v>
      </c>
      <c r="Z469" s="11">
        <f t="shared" si="31"/>
        <v>475.37589913576267</v>
      </c>
    </row>
    <row r="470" spans="18:26">
      <c r="R470">
        <f t="shared" si="32"/>
        <v>2012</v>
      </c>
      <c r="S470" s="10">
        <v>41243</v>
      </c>
      <c r="T470" s="2">
        <v>18.55</v>
      </c>
      <c r="U470" s="13">
        <v>41243</v>
      </c>
      <c r="V470" s="1">
        <v>41833.519999999997</v>
      </c>
      <c r="X470" s="7">
        <f t="shared" si="29"/>
        <v>41243</v>
      </c>
      <c r="Y470" s="11">
        <f t="shared" si="30"/>
        <v>545.58823529411745</v>
      </c>
      <c r="Z470" s="11">
        <f t="shared" si="31"/>
        <v>474.40030210281139</v>
      </c>
    </row>
    <row r="471" spans="18:26">
      <c r="R471">
        <f t="shared" si="32"/>
        <v>2012</v>
      </c>
      <c r="S471" s="10">
        <v>41250</v>
      </c>
      <c r="T471" s="2">
        <v>19.399999999999999</v>
      </c>
      <c r="U471" s="13">
        <v>41250</v>
      </c>
      <c r="V471" s="1">
        <v>42797.67</v>
      </c>
      <c r="X471" s="7">
        <f t="shared" si="29"/>
        <v>41250</v>
      </c>
      <c r="Y471" s="11">
        <f t="shared" si="30"/>
        <v>570.58823529411734</v>
      </c>
      <c r="Z471" s="11">
        <f t="shared" si="31"/>
        <v>485.33395175200246</v>
      </c>
    </row>
    <row r="472" spans="18:26">
      <c r="R472">
        <f t="shared" si="32"/>
        <v>2012</v>
      </c>
      <c r="S472" s="10">
        <v>41257</v>
      </c>
      <c r="T472" s="2">
        <v>18.8</v>
      </c>
      <c r="U472" s="13">
        <v>41257</v>
      </c>
      <c r="V472" s="1">
        <v>43050.92</v>
      </c>
      <c r="X472" s="7">
        <f t="shared" si="29"/>
        <v>41257</v>
      </c>
      <c r="Y472" s="11">
        <f t="shared" si="30"/>
        <v>552.94117647058795</v>
      </c>
      <c r="Z472" s="11">
        <f t="shared" si="31"/>
        <v>488.20585630384358</v>
      </c>
    </row>
    <row r="473" spans="18:26">
      <c r="R473">
        <f t="shared" si="32"/>
        <v>2012</v>
      </c>
      <c r="S473" s="10">
        <v>41264</v>
      </c>
      <c r="T473" s="2">
        <v>19.239999999999998</v>
      </c>
      <c r="U473" s="13">
        <v>41264</v>
      </c>
      <c r="V473" s="1">
        <v>43621.62</v>
      </c>
      <c r="X473" s="7">
        <f t="shared" si="29"/>
        <v>41264</v>
      </c>
      <c r="Y473" s="11">
        <f t="shared" si="30"/>
        <v>565.88235294117612</v>
      </c>
      <c r="Z473" s="11">
        <f t="shared" si="31"/>
        <v>494.67770596913772</v>
      </c>
    </row>
    <row r="474" spans="18:26">
      <c r="R474">
        <f t="shared" si="32"/>
        <v>2012</v>
      </c>
      <c r="S474" s="10">
        <v>41271</v>
      </c>
      <c r="T474" s="2">
        <v>19.309999999999999</v>
      </c>
      <c r="U474" s="13">
        <v>41271</v>
      </c>
      <c r="V474" s="1">
        <v>43721.93</v>
      </c>
      <c r="X474" s="7">
        <f t="shared" si="29"/>
        <v>41271</v>
      </c>
      <c r="Y474" s="11">
        <f t="shared" si="30"/>
        <v>567.94117647058795</v>
      </c>
      <c r="Z474" s="11">
        <f t="shared" si="31"/>
        <v>495.81524099616706</v>
      </c>
    </row>
    <row r="475" spans="18:26">
      <c r="R475">
        <f t="shared" si="32"/>
        <v>2013</v>
      </c>
      <c r="S475" s="10">
        <v>41278</v>
      </c>
      <c r="T475" s="2">
        <v>20.02</v>
      </c>
      <c r="U475" s="13">
        <v>41278</v>
      </c>
      <c r="V475" s="1">
        <v>44562.33</v>
      </c>
      <c r="X475" s="7">
        <f t="shared" si="29"/>
        <v>41278</v>
      </c>
      <c r="Y475" s="11">
        <f t="shared" si="30"/>
        <v>588.82352941176453</v>
      </c>
      <c r="Z475" s="11">
        <f t="shared" si="31"/>
        <v>505.34554143197079</v>
      </c>
    </row>
    <row r="476" spans="18:26">
      <c r="R476">
        <f t="shared" si="32"/>
        <v>2013</v>
      </c>
      <c r="S476" s="10">
        <v>41285</v>
      </c>
      <c r="T476" s="2">
        <v>19.86</v>
      </c>
      <c r="U476" s="13">
        <v>41285</v>
      </c>
      <c r="V476" s="1">
        <v>44888.13</v>
      </c>
      <c r="X476" s="7">
        <f t="shared" si="29"/>
        <v>41285</v>
      </c>
      <c r="Y476" s="11">
        <f t="shared" si="30"/>
        <v>584.11764705882331</v>
      </c>
      <c r="Z476" s="11">
        <f t="shared" si="31"/>
        <v>509.0401771792159</v>
      </c>
    </row>
    <row r="477" spans="18:26">
      <c r="R477">
        <f t="shared" si="32"/>
        <v>2013</v>
      </c>
      <c r="S477" s="10">
        <v>41292</v>
      </c>
      <c r="T477" s="2">
        <v>20.62</v>
      </c>
      <c r="U477" s="13">
        <v>41292</v>
      </c>
      <c r="V477" s="1">
        <v>45212.53</v>
      </c>
      <c r="X477" s="7">
        <f t="shared" si="29"/>
        <v>41292</v>
      </c>
      <c r="Y477" s="11">
        <f t="shared" si="30"/>
        <v>606.47058823529392</v>
      </c>
      <c r="Z477" s="11">
        <f t="shared" si="31"/>
        <v>512.71893665253185</v>
      </c>
    </row>
    <row r="478" spans="18:26">
      <c r="R478">
        <f t="shared" si="32"/>
        <v>2013</v>
      </c>
      <c r="S478" s="10">
        <v>41299</v>
      </c>
      <c r="T478" s="2">
        <v>20.64</v>
      </c>
      <c r="U478" s="13">
        <v>41299</v>
      </c>
      <c r="V478" s="1">
        <v>45575.86</v>
      </c>
      <c r="X478" s="7">
        <f t="shared" si="29"/>
        <v>41299</v>
      </c>
      <c r="Y478" s="11">
        <f t="shared" si="30"/>
        <v>607.0588235294116</v>
      </c>
      <c r="Z478" s="11">
        <f t="shared" si="31"/>
        <v>516.83916994303706</v>
      </c>
    </row>
    <row r="479" spans="18:26">
      <c r="R479">
        <f t="shared" si="32"/>
        <v>2013</v>
      </c>
      <c r="S479" s="10">
        <v>41306</v>
      </c>
      <c r="T479" s="2">
        <v>21.36</v>
      </c>
      <c r="U479" s="13">
        <v>41306</v>
      </c>
      <c r="V479" s="1">
        <v>45768.49</v>
      </c>
      <c r="X479" s="7">
        <f t="shared" si="29"/>
        <v>41306</v>
      </c>
      <c r="Y479" s="11">
        <f t="shared" si="30"/>
        <v>628.23529411764684</v>
      </c>
      <c r="Z479" s="11">
        <f t="shared" si="31"/>
        <v>519.02363183374246</v>
      </c>
    </row>
    <row r="480" spans="18:26">
      <c r="R480">
        <f t="shared" si="32"/>
        <v>2013</v>
      </c>
      <c r="S480" s="10">
        <v>41313</v>
      </c>
      <c r="T480" s="2">
        <v>21.65</v>
      </c>
      <c r="U480" s="13">
        <v>41313</v>
      </c>
      <c r="V480" s="1">
        <v>45089.36</v>
      </c>
      <c r="X480" s="7">
        <f t="shared" si="29"/>
        <v>41313</v>
      </c>
      <c r="Y480" s="11">
        <f t="shared" si="30"/>
        <v>636.7647058823527</v>
      </c>
      <c r="Z480" s="11">
        <f t="shared" si="31"/>
        <v>511.32216475262948</v>
      </c>
    </row>
    <row r="481" spans="18:26">
      <c r="R481">
        <f t="shared" si="32"/>
        <v>2013</v>
      </c>
      <c r="S481" s="10">
        <v>41320</v>
      </c>
      <c r="T481" s="2">
        <v>23</v>
      </c>
      <c r="U481" s="13">
        <v>41320</v>
      </c>
      <c r="V481" s="1">
        <v>44152.959999999999</v>
      </c>
      <c r="X481" s="7">
        <f t="shared" si="29"/>
        <v>41320</v>
      </c>
      <c r="Y481" s="11">
        <f t="shared" si="30"/>
        <v>676.47058823529392</v>
      </c>
      <c r="Z481" s="11">
        <f t="shared" si="31"/>
        <v>500.70320553310711</v>
      </c>
    </row>
    <row r="482" spans="18:26">
      <c r="R482">
        <f t="shared" si="32"/>
        <v>2013</v>
      </c>
      <c r="S482" s="10">
        <v>41327</v>
      </c>
      <c r="T482" s="2">
        <v>23.14</v>
      </c>
      <c r="U482" s="13">
        <v>41327</v>
      </c>
      <c r="V482" s="1">
        <v>43875.73</v>
      </c>
      <c r="X482" s="7">
        <f t="shared" si="29"/>
        <v>41327</v>
      </c>
      <c r="Y482" s="11">
        <f t="shared" si="30"/>
        <v>680.58823529411745</v>
      </c>
      <c r="Z482" s="11">
        <f t="shared" si="31"/>
        <v>497.55936308924964</v>
      </c>
    </row>
    <row r="483" spans="18:26">
      <c r="R483">
        <f t="shared" si="32"/>
        <v>2013</v>
      </c>
      <c r="S483" s="10">
        <v>41334</v>
      </c>
      <c r="T483" s="2">
        <v>24.96</v>
      </c>
      <c r="U483" s="13">
        <v>41334</v>
      </c>
      <c r="V483" s="1">
        <v>43995.72</v>
      </c>
      <c r="X483" s="7">
        <f t="shared" si="29"/>
        <v>41334</v>
      </c>
      <c r="Y483" s="11">
        <f t="shared" si="30"/>
        <v>734.11764705882331</v>
      </c>
      <c r="Z483" s="11">
        <f t="shared" si="31"/>
        <v>498.92007316694128</v>
      </c>
    </row>
    <row r="484" spans="18:26">
      <c r="R484">
        <f t="shared" si="32"/>
        <v>2013</v>
      </c>
      <c r="S484" s="10">
        <v>41341</v>
      </c>
      <c r="T484" s="2">
        <v>25.95</v>
      </c>
      <c r="U484" s="13">
        <v>41341</v>
      </c>
      <c r="V484" s="1">
        <v>44322.51</v>
      </c>
      <c r="X484" s="7">
        <f t="shared" si="29"/>
        <v>41341</v>
      </c>
      <c r="Y484" s="11">
        <f t="shared" si="30"/>
        <v>763.23529411764673</v>
      </c>
      <c r="Z484" s="11">
        <f t="shared" si="31"/>
        <v>502.62593570789352</v>
      </c>
    </row>
    <row r="485" spans="18:26">
      <c r="R485">
        <f t="shared" si="32"/>
        <v>2013</v>
      </c>
      <c r="S485" s="10">
        <v>41348</v>
      </c>
      <c r="T485" s="2">
        <v>23.49</v>
      </c>
      <c r="U485" s="13">
        <v>41348</v>
      </c>
      <c r="V485" s="1">
        <v>42605.05</v>
      </c>
      <c r="X485" s="7">
        <f t="shared" si="29"/>
        <v>41348</v>
      </c>
      <c r="Y485" s="11">
        <f t="shared" si="30"/>
        <v>690.88235294117612</v>
      </c>
      <c r="Z485" s="11">
        <f t="shared" si="31"/>
        <v>483.1496032632536</v>
      </c>
    </row>
    <row r="486" spans="18:26">
      <c r="R486">
        <f t="shared" si="32"/>
        <v>2013</v>
      </c>
      <c r="S486" s="10">
        <v>41355</v>
      </c>
      <c r="T486" s="2">
        <v>23.76</v>
      </c>
      <c r="U486" s="13">
        <v>41355</v>
      </c>
      <c r="V486" s="1">
        <v>42686.68</v>
      </c>
      <c r="X486" s="7">
        <f t="shared" si="29"/>
        <v>41355</v>
      </c>
      <c r="Y486" s="11">
        <f t="shared" si="30"/>
        <v>698.82352941176441</v>
      </c>
      <c r="Z486" s="11">
        <f t="shared" si="31"/>
        <v>484.07530343528435</v>
      </c>
    </row>
    <row r="487" spans="18:26">
      <c r="R487">
        <f t="shared" si="32"/>
        <v>2013</v>
      </c>
      <c r="S487" s="10">
        <v>41362</v>
      </c>
      <c r="T487" s="2">
        <v>25.76</v>
      </c>
      <c r="U487" s="13">
        <v>41362</v>
      </c>
      <c r="V487" s="1">
        <v>44077.09</v>
      </c>
      <c r="X487" s="7">
        <f t="shared" si="29"/>
        <v>41362</v>
      </c>
      <c r="Y487" s="11">
        <f t="shared" si="30"/>
        <v>757.64705882352905</v>
      </c>
      <c r="Z487" s="11">
        <f t="shared" si="31"/>
        <v>499.84282488809941</v>
      </c>
    </row>
    <row r="488" spans="18:26">
      <c r="R488">
        <f t="shared" si="32"/>
        <v>2013</v>
      </c>
      <c r="S488" s="10">
        <v>41369</v>
      </c>
      <c r="T488" s="2">
        <v>24.65</v>
      </c>
      <c r="U488" s="13">
        <v>41369</v>
      </c>
      <c r="V488" s="1">
        <v>43244.25</v>
      </c>
      <c r="X488" s="7">
        <f t="shared" si="29"/>
        <v>41369</v>
      </c>
      <c r="Y488" s="11">
        <f t="shared" si="30"/>
        <v>724.99999999999955</v>
      </c>
      <c r="Z488" s="11">
        <f t="shared" si="31"/>
        <v>490.39825633151361</v>
      </c>
    </row>
    <row r="489" spans="18:26">
      <c r="R489">
        <f t="shared" si="32"/>
        <v>2013</v>
      </c>
      <c r="S489" s="10">
        <v>41376</v>
      </c>
      <c r="T489" s="2">
        <v>25.19</v>
      </c>
      <c r="U489" s="13">
        <v>41376</v>
      </c>
      <c r="V489" s="1">
        <v>44004.27</v>
      </c>
      <c r="X489" s="7">
        <f t="shared" si="29"/>
        <v>41376</v>
      </c>
      <c r="Y489" s="11">
        <f t="shared" si="30"/>
        <v>740.88235294117612</v>
      </c>
      <c r="Z489" s="11">
        <f t="shared" si="31"/>
        <v>499.01703183986609</v>
      </c>
    </row>
    <row r="490" spans="18:26">
      <c r="R490">
        <f t="shared" si="32"/>
        <v>2013</v>
      </c>
      <c r="S490" s="10">
        <v>41383</v>
      </c>
      <c r="T490" s="2">
        <v>26.31</v>
      </c>
      <c r="U490" s="13">
        <v>41383</v>
      </c>
      <c r="V490" s="1">
        <v>42808.17</v>
      </c>
      <c r="X490" s="7">
        <f t="shared" si="29"/>
        <v>41383</v>
      </c>
      <c r="Y490" s="11">
        <f t="shared" si="30"/>
        <v>773.82352941176418</v>
      </c>
      <c r="Z490" s="11">
        <f t="shared" si="31"/>
        <v>485.45302380647155</v>
      </c>
    </row>
    <row r="491" spans="18:26">
      <c r="R491">
        <f t="shared" si="32"/>
        <v>2013</v>
      </c>
      <c r="S491" s="10">
        <v>41390</v>
      </c>
      <c r="T491" s="2">
        <v>25.28</v>
      </c>
      <c r="U491" s="13">
        <v>41390</v>
      </c>
      <c r="V491" s="1">
        <v>41897</v>
      </c>
      <c r="X491" s="7">
        <f t="shared" si="29"/>
        <v>41390</v>
      </c>
      <c r="Y491" s="11">
        <f t="shared" si="30"/>
        <v>743.52941176470551</v>
      </c>
      <c r="Z491" s="11">
        <f t="shared" si="31"/>
        <v>475.12017772354528</v>
      </c>
    </row>
    <row r="492" spans="18:26">
      <c r="R492">
        <f t="shared" si="32"/>
        <v>2013</v>
      </c>
      <c r="S492" s="10">
        <v>41397</v>
      </c>
      <c r="T492" s="2">
        <v>25.28</v>
      </c>
      <c r="U492" s="13">
        <v>41397</v>
      </c>
      <c r="V492" s="1">
        <v>42602.07</v>
      </c>
      <c r="X492" s="7">
        <f t="shared" si="29"/>
        <v>41397</v>
      </c>
      <c r="Y492" s="11">
        <f t="shared" si="30"/>
        <v>743.52941176470551</v>
      </c>
      <c r="Z492" s="11">
        <f t="shared" si="31"/>
        <v>483.11580948017564</v>
      </c>
    </row>
    <row r="493" spans="18:26">
      <c r="R493">
        <f t="shared" si="32"/>
        <v>2013</v>
      </c>
      <c r="S493" s="10">
        <v>41404</v>
      </c>
      <c r="T493" s="2">
        <v>24.55</v>
      </c>
      <c r="U493" s="13">
        <v>41404</v>
      </c>
      <c r="V493" s="1">
        <v>41741.54</v>
      </c>
      <c r="X493" s="7">
        <f t="shared" si="29"/>
        <v>41404</v>
      </c>
      <c r="Y493" s="11">
        <f t="shared" si="30"/>
        <v>722.05882352941137</v>
      </c>
      <c r="Z493" s="11">
        <f t="shared" si="31"/>
        <v>473.35723090566097</v>
      </c>
    </row>
    <row r="494" spans="18:26">
      <c r="R494">
        <f t="shared" si="32"/>
        <v>2013</v>
      </c>
      <c r="S494" s="10">
        <v>41411</v>
      </c>
      <c r="T494" s="2">
        <v>24.52</v>
      </c>
      <c r="U494" s="13">
        <v>41411</v>
      </c>
      <c r="V494" s="1">
        <v>41806.730000000003</v>
      </c>
      <c r="X494" s="7">
        <f t="shared" si="29"/>
        <v>41411</v>
      </c>
      <c r="Y494" s="11">
        <f t="shared" si="30"/>
        <v>721.17647058823491</v>
      </c>
      <c r="Z494" s="11">
        <f t="shared" si="31"/>
        <v>474.0964982609799</v>
      </c>
    </row>
    <row r="495" spans="18:26">
      <c r="R495">
        <f t="shared" si="32"/>
        <v>2013</v>
      </c>
      <c r="S495" s="10">
        <v>41418</v>
      </c>
      <c r="T495" s="2">
        <v>25.1</v>
      </c>
      <c r="U495" s="13">
        <v>41418</v>
      </c>
      <c r="V495" s="1">
        <v>40521.269999999997</v>
      </c>
      <c r="X495" s="7">
        <f t="shared" si="29"/>
        <v>41418</v>
      </c>
      <c r="Y495" s="11">
        <f t="shared" si="30"/>
        <v>738.23529411764673</v>
      </c>
      <c r="Z495" s="11">
        <f t="shared" si="31"/>
        <v>459.51913034307381</v>
      </c>
    </row>
    <row r="496" spans="18:26">
      <c r="R496">
        <f t="shared" si="32"/>
        <v>2013</v>
      </c>
      <c r="S496" s="10">
        <v>41425</v>
      </c>
      <c r="T496" s="2">
        <v>26.31</v>
      </c>
      <c r="U496" s="13">
        <v>41425</v>
      </c>
      <c r="V496" s="1">
        <v>41588.32</v>
      </c>
      <c r="X496" s="7">
        <f t="shared" si="29"/>
        <v>41425</v>
      </c>
      <c r="Y496" s="11">
        <f t="shared" si="30"/>
        <v>773.8235294117643</v>
      </c>
      <c r="Z496" s="11">
        <f t="shared" si="31"/>
        <v>471.61968612606324</v>
      </c>
    </row>
    <row r="497" spans="18:26">
      <c r="R497">
        <f t="shared" si="32"/>
        <v>2013</v>
      </c>
      <c r="S497" s="10">
        <v>41432</v>
      </c>
      <c r="T497" s="2">
        <v>24.63</v>
      </c>
      <c r="U497" s="13">
        <v>41432</v>
      </c>
      <c r="V497" s="1">
        <v>40232.68</v>
      </c>
      <c r="X497" s="7">
        <f t="shared" si="29"/>
        <v>41432</v>
      </c>
      <c r="Y497" s="11">
        <f t="shared" si="30"/>
        <v>724.41176470588198</v>
      </c>
      <c r="Z497" s="11">
        <f t="shared" si="31"/>
        <v>456.24646327647622</v>
      </c>
    </row>
    <row r="498" spans="18:26">
      <c r="R498">
        <f t="shared" si="32"/>
        <v>2013</v>
      </c>
      <c r="S498" s="10">
        <v>41439</v>
      </c>
      <c r="T498" s="2">
        <v>25.07</v>
      </c>
      <c r="U498" s="13">
        <v>41439</v>
      </c>
      <c r="V498" s="1">
        <v>39269.300000000003</v>
      </c>
      <c r="X498" s="7">
        <f t="shared" si="29"/>
        <v>41439</v>
      </c>
      <c r="Y498" s="11">
        <f t="shared" si="30"/>
        <v>737.35294117647027</v>
      </c>
      <c r="Z498" s="11">
        <f t="shared" si="31"/>
        <v>445.32154557794632</v>
      </c>
    </row>
    <row r="499" spans="18:26">
      <c r="R499">
        <f t="shared" si="32"/>
        <v>2013</v>
      </c>
      <c r="S499" s="10">
        <v>41446</v>
      </c>
      <c r="T499" s="2">
        <v>25.07</v>
      </c>
      <c r="U499" s="13">
        <v>41446</v>
      </c>
      <c r="V499" s="1">
        <v>38036.46</v>
      </c>
      <c r="X499" s="7">
        <f t="shared" si="29"/>
        <v>41446</v>
      </c>
      <c r="Y499" s="11">
        <f t="shared" si="30"/>
        <v>737.35294117647027</v>
      </c>
      <c r="Z499" s="11">
        <f t="shared" si="31"/>
        <v>431.34089875586602</v>
      </c>
    </row>
    <row r="500" spans="18:26">
      <c r="R500">
        <f t="shared" si="32"/>
        <v>2013</v>
      </c>
      <c r="S500" s="10">
        <v>41453</v>
      </c>
      <c r="T500" s="2">
        <v>25.21</v>
      </c>
      <c r="U500" s="13">
        <v>41453</v>
      </c>
      <c r="V500" s="1">
        <v>40623.300000000003</v>
      </c>
      <c r="X500" s="7">
        <f t="shared" si="29"/>
        <v>41453</v>
      </c>
      <c r="Y500" s="11">
        <f t="shared" si="30"/>
        <v>741.47058823529392</v>
      </c>
      <c r="Z500" s="11">
        <f t="shared" si="31"/>
        <v>460.67617050664472</v>
      </c>
    </row>
    <row r="501" spans="18:26">
      <c r="R501">
        <f t="shared" si="32"/>
        <v>2013</v>
      </c>
      <c r="S501" s="10">
        <v>41460</v>
      </c>
      <c r="T501" s="2">
        <v>26.58</v>
      </c>
      <c r="U501" s="13">
        <v>41460</v>
      </c>
      <c r="V501" s="1">
        <v>40623.089999999997</v>
      </c>
      <c r="X501" s="7">
        <f t="shared" si="29"/>
        <v>41460</v>
      </c>
      <c r="Y501" s="11">
        <f t="shared" si="30"/>
        <v>781.7647058823527</v>
      </c>
      <c r="Z501" s="11">
        <f t="shared" si="31"/>
        <v>460.6737890655553</v>
      </c>
    </row>
    <row r="502" spans="18:26">
      <c r="R502">
        <f t="shared" si="32"/>
        <v>2013</v>
      </c>
      <c r="S502" s="10">
        <v>41467</v>
      </c>
      <c r="T502" s="2">
        <v>25.15</v>
      </c>
      <c r="U502" s="13">
        <v>41467</v>
      </c>
      <c r="V502" s="1">
        <v>40329.81</v>
      </c>
      <c r="X502" s="7">
        <f t="shared" si="29"/>
        <v>41467</v>
      </c>
      <c r="Y502" s="11">
        <f t="shared" si="30"/>
        <v>739.70588235294099</v>
      </c>
      <c r="Z502" s="11">
        <f t="shared" si="31"/>
        <v>457.34793648129482</v>
      </c>
    </row>
    <row r="503" spans="18:26">
      <c r="R503">
        <f t="shared" si="32"/>
        <v>2013</v>
      </c>
      <c r="S503" s="10">
        <v>41474</v>
      </c>
      <c r="T503" s="2">
        <v>24.97</v>
      </c>
      <c r="U503" s="13">
        <v>41474</v>
      </c>
      <c r="V503" s="1">
        <v>39891.67</v>
      </c>
      <c r="X503" s="7">
        <f t="shared" si="29"/>
        <v>41474</v>
      </c>
      <c r="Y503" s="11">
        <f t="shared" si="30"/>
        <v>734.41176470588221</v>
      </c>
      <c r="Z503" s="11">
        <f t="shared" si="31"/>
        <v>452.37934315318557</v>
      </c>
    </row>
    <row r="504" spans="18:26">
      <c r="R504">
        <f t="shared" si="32"/>
        <v>2013</v>
      </c>
      <c r="S504" s="10">
        <v>41481</v>
      </c>
      <c r="T504" s="2">
        <v>25.27</v>
      </c>
      <c r="U504" s="13">
        <v>41481</v>
      </c>
      <c r="V504" s="1">
        <v>41064.58</v>
      </c>
      <c r="X504" s="7">
        <f t="shared" si="29"/>
        <v>41481</v>
      </c>
      <c r="Y504" s="11">
        <f t="shared" si="30"/>
        <v>743.23529411764696</v>
      </c>
      <c r="Z504" s="11">
        <f t="shared" si="31"/>
        <v>465.68037204913816</v>
      </c>
    </row>
    <row r="505" spans="18:26">
      <c r="R505">
        <f t="shared" si="32"/>
        <v>2013</v>
      </c>
      <c r="S505" s="10">
        <v>41488</v>
      </c>
      <c r="T505" s="2">
        <v>26.34</v>
      </c>
      <c r="U505" s="13">
        <v>41488</v>
      </c>
      <c r="V505" s="1">
        <v>42051.6</v>
      </c>
      <c r="X505" s="7">
        <f t="shared" si="29"/>
        <v>41488</v>
      </c>
      <c r="Y505" s="11">
        <f t="shared" si="30"/>
        <v>774.70588235294099</v>
      </c>
      <c r="Z505" s="11">
        <f t="shared" si="31"/>
        <v>476.87337197315878</v>
      </c>
    </row>
    <row r="506" spans="18:26">
      <c r="R506">
        <f t="shared" si="32"/>
        <v>2013</v>
      </c>
      <c r="S506" s="10">
        <v>41495</v>
      </c>
      <c r="T506" s="2">
        <v>25.39</v>
      </c>
      <c r="U506" s="13">
        <v>41495</v>
      </c>
      <c r="V506" s="1">
        <v>42648.74</v>
      </c>
      <c r="X506" s="7">
        <f t="shared" si="29"/>
        <v>41495</v>
      </c>
      <c r="Y506" s="11">
        <f t="shared" si="30"/>
        <v>746.76470588235281</v>
      </c>
      <c r="Z506" s="11">
        <f t="shared" si="31"/>
        <v>483.64505641180205</v>
      </c>
    </row>
    <row r="507" spans="18:26">
      <c r="R507">
        <f t="shared" si="32"/>
        <v>2013</v>
      </c>
      <c r="S507" s="10">
        <v>41502</v>
      </c>
      <c r="T507" s="2">
        <v>24.85</v>
      </c>
      <c r="U507" s="13">
        <v>41502</v>
      </c>
      <c r="V507" s="1">
        <v>42049.7</v>
      </c>
      <c r="X507" s="7">
        <f t="shared" si="29"/>
        <v>41502</v>
      </c>
      <c r="Y507" s="11">
        <f t="shared" si="30"/>
        <v>730.88235294117635</v>
      </c>
      <c r="Z507" s="11">
        <f t="shared" si="31"/>
        <v>476.85182560139765</v>
      </c>
    </row>
    <row r="508" spans="18:26">
      <c r="R508">
        <f t="shared" si="32"/>
        <v>2013</v>
      </c>
      <c r="S508" s="10">
        <v>41509</v>
      </c>
      <c r="T508" s="2">
        <v>23.65</v>
      </c>
      <c r="U508" s="13">
        <v>41509</v>
      </c>
      <c r="V508" s="1">
        <v>40925.129999999997</v>
      </c>
      <c r="X508" s="7">
        <f t="shared" si="29"/>
        <v>41509</v>
      </c>
      <c r="Y508" s="11">
        <f t="shared" si="30"/>
        <v>695.58823529411745</v>
      </c>
      <c r="Z508" s="11">
        <f t="shared" si="31"/>
        <v>464.09898176383012</v>
      </c>
    </row>
    <row r="509" spans="18:26">
      <c r="R509">
        <f t="shared" si="32"/>
        <v>2013</v>
      </c>
      <c r="S509" s="10">
        <v>41516</v>
      </c>
      <c r="T509" s="2">
        <v>22.98</v>
      </c>
      <c r="U509" s="13">
        <v>41516</v>
      </c>
      <c r="V509" s="1">
        <v>39484.46</v>
      </c>
      <c r="X509" s="7">
        <f t="shared" si="29"/>
        <v>41516</v>
      </c>
      <c r="Y509" s="11">
        <f t="shared" si="30"/>
        <v>675.88235294117635</v>
      </c>
      <c r="Z509" s="11">
        <f t="shared" si="31"/>
        <v>447.76150207695565</v>
      </c>
    </row>
    <row r="510" spans="18:26">
      <c r="R510">
        <f t="shared" si="32"/>
        <v>2013</v>
      </c>
      <c r="S510" s="10">
        <v>41523</v>
      </c>
      <c r="T510" s="2">
        <v>23.11</v>
      </c>
      <c r="U510" s="13">
        <v>41523</v>
      </c>
      <c r="V510" s="1">
        <v>39915.06</v>
      </c>
      <c r="X510" s="7">
        <f t="shared" si="29"/>
        <v>41523</v>
      </c>
      <c r="Y510" s="11">
        <f t="shared" si="30"/>
        <v>679.70588235294099</v>
      </c>
      <c r="Z510" s="11">
        <f t="shared" si="31"/>
        <v>452.64459032976032</v>
      </c>
    </row>
    <row r="511" spans="18:26">
      <c r="R511">
        <f t="shared" si="32"/>
        <v>2013</v>
      </c>
      <c r="S511" s="10">
        <v>41530</v>
      </c>
      <c r="T511" s="2">
        <v>22.9</v>
      </c>
      <c r="U511" s="13">
        <v>41530</v>
      </c>
      <c r="V511" s="1">
        <v>41122.47</v>
      </c>
      <c r="X511" s="7">
        <f t="shared" si="29"/>
        <v>41530</v>
      </c>
      <c r="Y511" s="11">
        <f t="shared" si="30"/>
        <v>673.52941176470563</v>
      </c>
      <c r="Z511" s="11">
        <f t="shared" si="31"/>
        <v>466.33685597611185</v>
      </c>
    </row>
    <row r="512" spans="18:26">
      <c r="R512">
        <f t="shared" si="32"/>
        <v>2013</v>
      </c>
      <c r="S512" s="10">
        <v>41537</v>
      </c>
      <c r="T512" s="2">
        <v>23.61</v>
      </c>
      <c r="U512" s="13">
        <v>41537</v>
      </c>
      <c r="V512" s="1">
        <v>41225.980000000003</v>
      </c>
      <c r="X512" s="7">
        <f t="shared" si="29"/>
        <v>41537</v>
      </c>
      <c r="Y512" s="11">
        <f t="shared" si="30"/>
        <v>694.41176470588209</v>
      </c>
      <c r="Z512" s="11">
        <f t="shared" si="31"/>
        <v>467.51067962926521</v>
      </c>
    </row>
    <row r="513" spans="18:26">
      <c r="R513">
        <f t="shared" si="32"/>
        <v>2013</v>
      </c>
      <c r="S513" s="10">
        <v>41544</v>
      </c>
      <c r="T513" s="2">
        <v>23.58</v>
      </c>
      <c r="U513" s="13">
        <v>41544</v>
      </c>
      <c r="V513" s="1">
        <v>40903.65</v>
      </c>
      <c r="X513" s="7">
        <f t="shared" si="29"/>
        <v>41544</v>
      </c>
      <c r="Y513" s="11">
        <f t="shared" si="30"/>
        <v>693.52941176470563</v>
      </c>
      <c r="Z513" s="11">
        <f t="shared" si="31"/>
        <v>463.85539436097315</v>
      </c>
    </row>
    <row r="514" spans="18:26">
      <c r="R514">
        <f t="shared" si="32"/>
        <v>2013</v>
      </c>
      <c r="S514" s="10">
        <v>41551</v>
      </c>
      <c r="T514" s="2">
        <v>23.6</v>
      </c>
      <c r="U514" s="13">
        <v>41551</v>
      </c>
      <c r="V514" s="1">
        <v>40909.54</v>
      </c>
      <c r="X514" s="7">
        <f t="shared" si="29"/>
        <v>41551</v>
      </c>
      <c r="Y514" s="11">
        <f t="shared" si="30"/>
        <v>694.11764705882331</v>
      </c>
      <c r="Z514" s="11">
        <f t="shared" si="31"/>
        <v>463.92218811343253</v>
      </c>
    </row>
    <row r="515" spans="18:26">
      <c r="R515">
        <f t="shared" si="32"/>
        <v>2013</v>
      </c>
      <c r="S515" s="10">
        <v>41558</v>
      </c>
      <c r="T515" s="2">
        <v>23.83</v>
      </c>
      <c r="U515" s="13">
        <v>41558</v>
      </c>
      <c r="V515" s="1">
        <v>40975.370000000003</v>
      </c>
      <c r="X515" s="7">
        <f t="shared" si="29"/>
        <v>41558</v>
      </c>
      <c r="Y515" s="11">
        <f t="shared" si="30"/>
        <v>700.88235294117612</v>
      </c>
      <c r="Z515" s="11">
        <f t="shared" si="31"/>
        <v>464.66871319397626</v>
      </c>
    </row>
    <row r="516" spans="18:26">
      <c r="R516">
        <f t="shared" si="32"/>
        <v>2013</v>
      </c>
      <c r="S516" s="10">
        <v>41565</v>
      </c>
      <c r="T516" s="2">
        <v>23.71</v>
      </c>
      <c r="U516" s="13">
        <v>41565</v>
      </c>
      <c r="V516" s="1">
        <v>40412.69</v>
      </c>
      <c r="X516" s="7">
        <f t="shared" si="29"/>
        <v>41565</v>
      </c>
      <c r="Y516" s="11">
        <f t="shared" si="30"/>
        <v>697.35294117647027</v>
      </c>
      <c r="Z516" s="11">
        <f t="shared" si="31"/>
        <v>458.28781189790533</v>
      </c>
    </row>
    <row r="517" spans="18:26">
      <c r="R517">
        <f t="shared" si="32"/>
        <v>2013</v>
      </c>
      <c r="S517" s="10">
        <v>41572</v>
      </c>
      <c r="T517" s="2">
        <v>24.56</v>
      </c>
      <c r="U517" s="13">
        <v>41572</v>
      </c>
      <c r="V517" s="1">
        <v>40671.61</v>
      </c>
      <c r="X517" s="7">
        <f t="shared" ref="X517:X580" si="33">+S517</f>
        <v>41572</v>
      </c>
      <c r="Y517" s="11">
        <f t="shared" si="30"/>
        <v>722.35294117647015</v>
      </c>
      <c r="Z517" s="11">
        <f t="shared" si="31"/>
        <v>461.22401535915981</v>
      </c>
    </row>
    <row r="518" spans="18:26">
      <c r="R518">
        <f t="shared" si="32"/>
        <v>2013</v>
      </c>
      <c r="S518" s="10">
        <v>41579</v>
      </c>
      <c r="T518" s="2">
        <v>24.7</v>
      </c>
      <c r="U518" s="13">
        <v>41579</v>
      </c>
      <c r="V518" s="1">
        <v>41079.61</v>
      </c>
      <c r="X518" s="7">
        <f t="shared" si="33"/>
        <v>41579</v>
      </c>
      <c r="Y518" s="11">
        <f t="shared" ref="Y518:Y581" si="34">+Y517*(T518/T517)</f>
        <v>726.4705882352938</v>
      </c>
      <c r="Z518" s="11">
        <f t="shared" ref="Z518:Z581" si="35">+Z517*(V518/V517)</f>
        <v>465.85081518996407</v>
      </c>
    </row>
    <row r="519" spans="18:26">
      <c r="R519">
        <f t="shared" ref="R519:R582" si="36">+YEAR(S519)</f>
        <v>2013</v>
      </c>
      <c r="S519" s="10">
        <v>41586</v>
      </c>
      <c r="T519" s="2">
        <v>23.11</v>
      </c>
      <c r="U519" s="13">
        <v>41586</v>
      </c>
      <c r="V519" s="1">
        <v>39864.160000000003</v>
      </c>
      <c r="X519" s="7">
        <f t="shared" si="33"/>
        <v>41586</v>
      </c>
      <c r="Y519" s="11">
        <f t="shared" si="34"/>
        <v>679.70588235294088</v>
      </c>
      <c r="Z519" s="11">
        <f t="shared" si="35"/>
        <v>452.06737437047622</v>
      </c>
    </row>
    <row r="520" spans="18:26">
      <c r="R520">
        <f t="shared" si="36"/>
        <v>2013</v>
      </c>
      <c r="S520" s="10">
        <v>41593</v>
      </c>
      <c r="T520" s="2">
        <v>23.44</v>
      </c>
      <c r="U520" s="13">
        <v>41593</v>
      </c>
      <c r="V520" s="1">
        <v>41034.11</v>
      </c>
      <c r="X520" s="7">
        <f t="shared" si="33"/>
        <v>41593</v>
      </c>
      <c r="Y520" s="11">
        <f t="shared" si="34"/>
        <v>689.41176470588209</v>
      </c>
      <c r="Z520" s="11">
        <f t="shared" si="35"/>
        <v>465.33483628726407</v>
      </c>
    </row>
    <row r="521" spans="18:26">
      <c r="R521">
        <f t="shared" si="36"/>
        <v>2013</v>
      </c>
      <c r="S521" s="10">
        <v>41600</v>
      </c>
      <c r="T521" s="2">
        <v>23.57</v>
      </c>
      <c r="U521" s="13">
        <v>41600</v>
      </c>
      <c r="V521" s="1">
        <v>41199.019999999997</v>
      </c>
      <c r="X521" s="7">
        <f t="shared" si="33"/>
        <v>41600</v>
      </c>
      <c r="Y521" s="11">
        <f t="shared" si="34"/>
        <v>693.23529411764684</v>
      </c>
      <c r="Z521" s="11">
        <f t="shared" si="35"/>
        <v>467.20494795417073</v>
      </c>
    </row>
    <row r="522" spans="18:26">
      <c r="R522">
        <f t="shared" si="36"/>
        <v>2013</v>
      </c>
      <c r="S522" s="10">
        <v>41607</v>
      </c>
      <c r="T522" s="2">
        <v>23.84</v>
      </c>
      <c r="U522" s="13">
        <v>41607</v>
      </c>
      <c r="V522" s="1">
        <v>42499.13</v>
      </c>
      <c r="X522" s="7">
        <f t="shared" si="33"/>
        <v>41607</v>
      </c>
      <c r="Y522" s="11">
        <f t="shared" si="34"/>
        <v>701.17647058823513</v>
      </c>
      <c r="Z522" s="11">
        <f t="shared" si="35"/>
        <v>481.94844973855044</v>
      </c>
    </row>
    <row r="523" spans="18:26">
      <c r="R523">
        <f t="shared" si="36"/>
        <v>2013</v>
      </c>
      <c r="S523" s="10">
        <v>41614</v>
      </c>
      <c r="T523" s="2">
        <v>23.73</v>
      </c>
      <c r="U523" s="13">
        <v>41614</v>
      </c>
      <c r="V523" s="1">
        <v>41925.54</v>
      </c>
      <c r="X523" s="7">
        <f t="shared" si="33"/>
        <v>41614</v>
      </c>
      <c r="Y523" s="11">
        <f t="shared" si="34"/>
        <v>697.94117647058806</v>
      </c>
      <c r="Z523" s="11">
        <f t="shared" si="35"/>
        <v>475.44382690778815</v>
      </c>
    </row>
    <row r="524" spans="18:26">
      <c r="R524">
        <f t="shared" si="36"/>
        <v>2013</v>
      </c>
      <c r="S524" s="10">
        <v>41621</v>
      </c>
      <c r="T524" s="2">
        <v>23.34</v>
      </c>
      <c r="U524" s="13">
        <v>41621</v>
      </c>
      <c r="V524" s="1">
        <v>41884.83</v>
      </c>
      <c r="X524" s="7">
        <f t="shared" si="33"/>
        <v>41621</v>
      </c>
      <c r="Y524" s="11">
        <f t="shared" si="34"/>
        <v>686.47058823529392</v>
      </c>
      <c r="Z524" s="11">
        <f t="shared" si="35"/>
        <v>474.98216754231748</v>
      </c>
    </row>
    <row r="525" spans="18:26">
      <c r="R525">
        <f t="shared" si="36"/>
        <v>2013</v>
      </c>
      <c r="S525" s="10">
        <v>41628</v>
      </c>
      <c r="T525" s="2">
        <v>22.66</v>
      </c>
      <c r="U525" s="13">
        <v>41628</v>
      </c>
      <c r="V525" s="1">
        <v>42183.77</v>
      </c>
      <c r="X525" s="7">
        <f t="shared" si="33"/>
        <v>41628</v>
      </c>
      <c r="Y525" s="11">
        <f t="shared" si="34"/>
        <v>666.47058823529392</v>
      </c>
      <c r="Z525" s="11">
        <f t="shared" si="35"/>
        <v>478.37220563403463</v>
      </c>
    </row>
    <row r="526" spans="18:26">
      <c r="R526">
        <f t="shared" si="36"/>
        <v>2013</v>
      </c>
      <c r="S526" s="10">
        <v>41635</v>
      </c>
      <c r="T526" s="2">
        <v>22.7</v>
      </c>
      <c r="U526" s="13">
        <v>41635</v>
      </c>
      <c r="V526" s="1">
        <v>42753.22</v>
      </c>
      <c r="X526" s="7">
        <f t="shared" si="33"/>
        <v>41635</v>
      </c>
      <c r="Y526" s="11">
        <f t="shared" si="34"/>
        <v>667.64705882352916</v>
      </c>
      <c r="Z526" s="11">
        <f t="shared" si="35"/>
        <v>484.82988005474908</v>
      </c>
    </row>
    <row r="527" spans="18:26">
      <c r="R527">
        <f t="shared" si="36"/>
        <v>2014</v>
      </c>
      <c r="S527" s="10">
        <v>41642</v>
      </c>
      <c r="T527" s="2">
        <v>22.66</v>
      </c>
      <c r="U527" s="13">
        <v>41642</v>
      </c>
      <c r="V527" s="1">
        <v>42064.97</v>
      </c>
      <c r="X527" s="7">
        <f t="shared" si="33"/>
        <v>41642</v>
      </c>
      <c r="Y527" s="11">
        <f t="shared" si="34"/>
        <v>666.47058823529392</v>
      </c>
      <c r="Z527" s="11">
        <f t="shared" si="35"/>
        <v>477.02499038918279</v>
      </c>
    </row>
    <row r="528" spans="18:26">
      <c r="R528">
        <f t="shared" si="36"/>
        <v>2014</v>
      </c>
      <c r="S528" s="10">
        <v>41649</v>
      </c>
      <c r="T528" s="2">
        <v>23.16</v>
      </c>
      <c r="U528" s="13">
        <v>41649</v>
      </c>
      <c r="V528" s="1">
        <v>42458.51</v>
      </c>
      <c r="X528" s="7">
        <f t="shared" si="33"/>
        <v>41649</v>
      </c>
      <c r="Y528" s="11">
        <f t="shared" si="34"/>
        <v>681.17647058823513</v>
      </c>
      <c r="Z528" s="11">
        <f t="shared" si="35"/>
        <v>481.48781099068941</v>
      </c>
    </row>
    <row r="529" spans="18:26">
      <c r="R529">
        <f t="shared" si="36"/>
        <v>2014</v>
      </c>
      <c r="S529" s="10">
        <v>41656</v>
      </c>
      <c r="T529" s="2">
        <v>22.47</v>
      </c>
      <c r="U529" s="13">
        <v>41656</v>
      </c>
      <c r="V529" s="1">
        <v>41911.31</v>
      </c>
      <c r="X529" s="7">
        <f t="shared" si="33"/>
        <v>41656</v>
      </c>
      <c r="Y529" s="11">
        <f t="shared" si="34"/>
        <v>660.88235294117624</v>
      </c>
      <c r="Z529" s="11">
        <f t="shared" si="35"/>
        <v>475.28245592349305</v>
      </c>
    </row>
    <row r="530" spans="18:26">
      <c r="R530">
        <f t="shared" si="36"/>
        <v>2014</v>
      </c>
      <c r="S530" s="10">
        <v>41663</v>
      </c>
      <c r="T530" s="2">
        <v>21.1</v>
      </c>
      <c r="U530" s="13">
        <v>41663</v>
      </c>
      <c r="V530" s="1">
        <v>40979.800000000003</v>
      </c>
      <c r="X530" s="7">
        <f t="shared" si="33"/>
        <v>41663</v>
      </c>
      <c r="Y530" s="11">
        <f t="shared" si="34"/>
        <v>620.58823529411745</v>
      </c>
      <c r="Z530" s="11">
        <f t="shared" si="35"/>
        <v>464.71895026076641</v>
      </c>
    </row>
    <row r="531" spans="18:26">
      <c r="R531">
        <f t="shared" si="36"/>
        <v>2014</v>
      </c>
      <c r="S531" s="10">
        <v>41670</v>
      </c>
      <c r="T531" s="2">
        <v>21.05</v>
      </c>
      <c r="U531" s="13">
        <v>41670</v>
      </c>
      <c r="V531" s="1">
        <v>40879.75</v>
      </c>
      <c r="X531" s="7">
        <f t="shared" si="33"/>
        <v>41670</v>
      </c>
      <c r="Y531" s="11">
        <f t="shared" si="34"/>
        <v>619.11764705882331</v>
      </c>
      <c r="Z531" s="11">
        <f t="shared" si="35"/>
        <v>463.58436368460957</v>
      </c>
    </row>
    <row r="532" spans="18:26">
      <c r="R532">
        <f t="shared" si="36"/>
        <v>2014</v>
      </c>
      <c r="S532" s="10">
        <v>41677</v>
      </c>
      <c r="T532" s="2">
        <v>20.079999999999998</v>
      </c>
      <c r="U532" s="13">
        <v>41677</v>
      </c>
      <c r="V532" s="1">
        <v>40525.74</v>
      </c>
      <c r="X532" s="7">
        <f t="shared" si="33"/>
        <v>41677</v>
      </c>
      <c r="Y532" s="11">
        <f t="shared" si="34"/>
        <v>590.58823529411745</v>
      </c>
      <c r="Z532" s="11">
        <f t="shared" si="35"/>
        <v>459.5698210176904</v>
      </c>
    </row>
    <row r="533" spans="18:26">
      <c r="R533">
        <f t="shared" si="36"/>
        <v>2014</v>
      </c>
      <c r="S533" s="10">
        <v>41684</v>
      </c>
      <c r="T533" s="2">
        <v>20.84</v>
      </c>
      <c r="U533" s="13">
        <v>41684</v>
      </c>
      <c r="V533" s="1">
        <v>40710.89</v>
      </c>
      <c r="X533" s="7">
        <f t="shared" si="33"/>
        <v>41684</v>
      </c>
      <c r="Y533" s="11">
        <f t="shared" si="34"/>
        <v>612.94117647058818</v>
      </c>
      <c r="Z533" s="11">
        <f t="shared" si="35"/>
        <v>461.66945824483116</v>
      </c>
    </row>
    <row r="534" spans="18:26">
      <c r="R534">
        <f t="shared" si="36"/>
        <v>2014</v>
      </c>
      <c r="S534" s="10">
        <v>41691</v>
      </c>
      <c r="T534" s="2">
        <v>20.39</v>
      </c>
      <c r="U534" s="13">
        <v>41691</v>
      </c>
      <c r="V534" s="1">
        <v>39724.58</v>
      </c>
      <c r="X534" s="7">
        <f t="shared" si="33"/>
        <v>41691</v>
      </c>
      <c r="Y534" s="11">
        <f t="shared" si="34"/>
        <v>599.7058823529411</v>
      </c>
      <c r="Z534" s="11">
        <f t="shared" si="35"/>
        <v>450.48450985973182</v>
      </c>
    </row>
    <row r="535" spans="18:26">
      <c r="R535">
        <f t="shared" si="36"/>
        <v>2014</v>
      </c>
      <c r="S535" s="10">
        <v>41698</v>
      </c>
      <c r="T535" s="2">
        <v>19.77</v>
      </c>
      <c r="U535" s="13">
        <v>41698</v>
      </c>
      <c r="V535" s="1">
        <v>38782.89</v>
      </c>
      <c r="X535" s="7">
        <f t="shared" si="33"/>
        <v>41698</v>
      </c>
      <c r="Y535" s="11">
        <f t="shared" si="34"/>
        <v>581.47058823529403</v>
      </c>
      <c r="Z535" s="11">
        <f t="shared" si="35"/>
        <v>439.80556100514826</v>
      </c>
    </row>
    <row r="536" spans="18:26">
      <c r="R536">
        <f t="shared" si="36"/>
        <v>2014</v>
      </c>
      <c r="S536" s="10">
        <v>41705</v>
      </c>
      <c r="T536" s="2">
        <v>20.7</v>
      </c>
      <c r="U536" s="13">
        <v>41705</v>
      </c>
      <c r="V536" s="1">
        <v>38913.040000000001</v>
      </c>
      <c r="X536" s="7">
        <f t="shared" si="33"/>
        <v>41705</v>
      </c>
      <c r="Y536" s="11">
        <f t="shared" si="34"/>
        <v>608.82352941176464</v>
      </c>
      <c r="Z536" s="11">
        <f t="shared" si="35"/>
        <v>441.28148747078353</v>
      </c>
    </row>
    <row r="537" spans="18:26">
      <c r="R537">
        <f t="shared" si="36"/>
        <v>2014</v>
      </c>
      <c r="S537" s="10">
        <v>41712</v>
      </c>
      <c r="T537" s="2">
        <v>19.46</v>
      </c>
      <c r="U537" s="13">
        <v>41712</v>
      </c>
      <c r="V537" s="1">
        <v>37950.97</v>
      </c>
      <c r="X537" s="7">
        <f t="shared" si="33"/>
        <v>41712</v>
      </c>
      <c r="Y537" s="11">
        <f t="shared" si="34"/>
        <v>572.35294117647061</v>
      </c>
      <c r="Z537" s="11">
        <f t="shared" si="35"/>
        <v>430.3714254285731</v>
      </c>
    </row>
    <row r="538" spans="18:26">
      <c r="R538">
        <f t="shared" si="36"/>
        <v>2014</v>
      </c>
      <c r="S538" s="10">
        <v>41719</v>
      </c>
      <c r="T538" s="2">
        <v>21.65</v>
      </c>
      <c r="U538" s="13">
        <v>41719</v>
      </c>
      <c r="V538" s="1">
        <v>40021.730000000003</v>
      </c>
      <c r="X538" s="7">
        <f t="shared" si="33"/>
        <v>41719</v>
      </c>
      <c r="Y538" s="11">
        <f t="shared" si="34"/>
        <v>636.76470588235281</v>
      </c>
      <c r="Z538" s="11">
        <f t="shared" si="35"/>
        <v>453.85424900121103</v>
      </c>
    </row>
    <row r="539" spans="18:26">
      <c r="R539">
        <f t="shared" si="36"/>
        <v>2014</v>
      </c>
      <c r="S539" s="10">
        <v>41726</v>
      </c>
      <c r="T539" s="2">
        <v>21.45</v>
      </c>
      <c r="U539" s="13">
        <v>41726</v>
      </c>
      <c r="V539" s="1">
        <v>40048.199999999997</v>
      </c>
      <c r="X539" s="7">
        <f t="shared" si="33"/>
        <v>41726</v>
      </c>
      <c r="Y539" s="11">
        <f t="shared" si="34"/>
        <v>630.88235294117635</v>
      </c>
      <c r="Z539" s="11">
        <f t="shared" si="35"/>
        <v>454.15442398043007</v>
      </c>
    </row>
    <row r="540" spans="18:26">
      <c r="R540">
        <f t="shared" si="36"/>
        <v>2014</v>
      </c>
      <c r="S540" s="10">
        <v>41733</v>
      </c>
      <c r="T540" s="2">
        <v>22.76</v>
      </c>
      <c r="U540" s="13">
        <v>41733</v>
      </c>
      <c r="V540" s="1">
        <v>40598.339999999997</v>
      </c>
      <c r="X540" s="7">
        <f t="shared" si="33"/>
        <v>41733</v>
      </c>
      <c r="Y540" s="11">
        <f t="shared" si="34"/>
        <v>669.41176470588232</v>
      </c>
      <c r="Z540" s="11">
        <f t="shared" si="35"/>
        <v>460.39311922287771</v>
      </c>
    </row>
    <row r="541" spans="18:26">
      <c r="R541">
        <f t="shared" si="36"/>
        <v>2014</v>
      </c>
      <c r="S541" s="10">
        <v>41740</v>
      </c>
      <c r="T541" s="2">
        <v>22.49</v>
      </c>
      <c r="U541" s="13">
        <v>41740</v>
      </c>
      <c r="V541" s="1">
        <v>40380.79</v>
      </c>
      <c r="X541" s="7">
        <f t="shared" si="33"/>
        <v>41740</v>
      </c>
      <c r="Y541" s="11">
        <f t="shared" si="34"/>
        <v>661.47058823529403</v>
      </c>
      <c r="Z541" s="11">
        <f t="shared" si="35"/>
        <v>457.92605965623204</v>
      </c>
    </row>
    <row r="542" spans="18:26">
      <c r="R542">
        <f t="shared" si="36"/>
        <v>2014</v>
      </c>
      <c r="S542" s="10">
        <v>41747</v>
      </c>
      <c r="T542" s="2">
        <v>22.48</v>
      </c>
      <c r="U542" s="13">
        <v>41747</v>
      </c>
      <c r="V542" s="1">
        <v>40890.53</v>
      </c>
      <c r="X542" s="7">
        <f t="shared" si="33"/>
        <v>41747</v>
      </c>
      <c r="Y542" s="11">
        <f t="shared" si="34"/>
        <v>661.17647058823525</v>
      </c>
      <c r="Z542" s="11">
        <f t="shared" si="35"/>
        <v>463.70661099386479</v>
      </c>
    </row>
    <row r="543" spans="18:26">
      <c r="R543">
        <f t="shared" si="36"/>
        <v>2014</v>
      </c>
      <c r="S543" s="10">
        <v>41754</v>
      </c>
      <c r="T543" s="2">
        <v>21.49</v>
      </c>
      <c r="U543" s="13">
        <v>41754</v>
      </c>
      <c r="V543" s="1">
        <v>40198.400000000001</v>
      </c>
      <c r="X543" s="7">
        <f t="shared" si="33"/>
        <v>41754</v>
      </c>
      <c r="Y543" s="11">
        <f t="shared" si="34"/>
        <v>632.05882352941171</v>
      </c>
      <c r="Z543" s="11">
        <f t="shared" si="35"/>
        <v>455.85772136912323</v>
      </c>
    </row>
    <row r="544" spans="18:26">
      <c r="R544">
        <f t="shared" si="36"/>
        <v>2014</v>
      </c>
      <c r="S544" s="10">
        <v>41761</v>
      </c>
      <c r="T544" s="2">
        <v>21.5</v>
      </c>
      <c r="U544" s="13">
        <v>41761</v>
      </c>
      <c r="V544" s="1">
        <v>40967.949999999997</v>
      </c>
      <c r="X544" s="7">
        <f t="shared" si="33"/>
        <v>41761</v>
      </c>
      <c r="Y544" s="11">
        <f t="shared" si="34"/>
        <v>632.35294117647061</v>
      </c>
      <c r="Z544" s="11">
        <f t="shared" si="35"/>
        <v>464.58456894215112</v>
      </c>
    </row>
    <row r="545" spans="18:26">
      <c r="R545">
        <f t="shared" si="36"/>
        <v>2014</v>
      </c>
      <c r="S545" s="10">
        <v>41768</v>
      </c>
      <c r="T545" s="2">
        <v>21.65</v>
      </c>
      <c r="U545" s="13">
        <v>41768</v>
      </c>
      <c r="V545" s="1">
        <v>41641.11</v>
      </c>
      <c r="X545" s="7">
        <f t="shared" si="33"/>
        <v>41768</v>
      </c>
      <c r="Y545" s="11">
        <f t="shared" si="34"/>
        <v>636.76470588235293</v>
      </c>
      <c r="Z545" s="11">
        <f t="shared" si="35"/>
        <v>472.21833505515161</v>
      </c>
    </row>
    <row r="546" spans="18:26">
      <c r="R546">
        <f t="shared" si="36"/>
        <v>2014</v>
      </c>
      <c r="S546" s="10">
        <v>41775</v>
      </c>
      <c r="T546" s="2">
        <v>22.23</v>
      </c>
      <c r="U546" s="13">
        <v>41775</v>
      </c>
      <c r="V546" s="1">
        <v>41898.839999999997</v>
      </c>
      <c r="X546" s="7">
        <f t="shared" si="33"/>
        <v>41775</v>
      </c>
      <c r="Y546" s="11">
        <f t="shared" si="34"/>
        <v>653.82352941176475</v>
      </c>
      <c r="Z546" s="11">
        <f t="shared" si="35"/>
        <v>475.14104368356618</v>
      </c>
    </row>
    <row r="547" spans="18:26">
      <c r="R547">
        <f t="shared" si="36"/>
        <v>2014</v>
      </c>
      <c r="S547" s="10">
        <v>41782</v>
      </c>
      <c r="T547" s="2">
        <v>22.34</v>
      </c>
      <c r="U547" s="13">
        <v>41782</v>
      </c>
      <c r="V547" s="1">
        <v>41917.919999999998</v>
      </c>
      <c r="X547" s="7">
        <f t="shared" si="33"/>
        <v>41782</v>
      </c>
      <c r="Y547" s="11">
        <f t="shared" si="34"/>
        <v>657.05882352941182</v>
      </c>
      <c r="Z547" s="11">
        <f t="shared" si="35"/>
        <v>475.35741461683028</v>
      </c>
    </row>
    <row r="548" spans="18:26">
      <c r="R548">
        <f t="shared" si="36"/>
        <v>2014</v>
      </c>
      <c r="S548" s="10">
        <v>41789</v>
      </c>
      <c r="T548" s="2">
        <v>21.43</v>
      </c>
      <c r="U548" s="13">
        <v>41789</v>
      </c>
      <c r="V548" s="1">
        <v>41362.51</v>
      </c>
      <c r="X548" s="7">
        <f t="shared" si="33"/>
        <v>41789</v>
      </c>
      <c r="Y548" s="11">
        <f t="shared" si="34"/>
        <v>630.2941176470589</v>
      </c>
      <c r="Z548" s="11">
        <f t="shared" si="35"/>
        <v>469.05895654323473</v>
      </c>
    </row>
    <row r="549" spans="18:26">
      <c r="R549">
        <f t="shared" si="36"/>
        <v>2014</v>
      </c>
      <c r="S549" s="10">
        <v>41796</v>
      </c>
      <c r="T549" s="2">
        <v>22.76</v>
      </c>
      <c r="U549" s="13">
        <v>41796</v>
      </c>
      <c r="V549" s="1">
        <v>42778.26</v>
      </c>
      <c r="X549" s="7">
        <f t="shared" si="33"/>
        <v>41796</v>
      </c>
      <c r="Y549" s="11">
        <f t="shared" si="34"/>
        <v>669.41176470588255</v>
      </c>
      <c r="Z549" s="11">
        <f t="shared" si="35"/>
        <v>485.11383855416886</v>
      </c>
    </row>
    <row r="550" spans="18:26">
      <c r="R550">
        <f t="shared" si="36"/>
        <v>2014</v>
      </c>
      <c r="S550" s="10">
        <v>41803</v>
      </c>
      <c r="T550" s="2">
        <v>22.66</v>
      </c>
      <c r="U550" s="13">
        <v>41803</v>
      </c>
      <c r="V550" s="1">
        <v>42485.66</v>
      </c>
      <c r="X550" s="7">
        <f t="shared" si="33"/>
        <v>41803</v>
      </c>
      <c r="Y550" s="11">
        <f t="shared" si="34"/>
        <v>666.47058823529426</v>
      </c>
      <c r="Z550" s="11">
        <f t="shared" si="35"/>
        <v>481.79569730295975</v>
      </c>
    </row>
    <row r="551" spans="18:26">
      <c r="R551">
        <f t="shared" si="36"/>
        <v>2014</v>
      </c>
      <c r="S551" s="10">
        <v>41810</v>
      </c>
      <c r="T551" s="2">
        <v>22.87</v>
      </c>
      <c r="U551" s="13">
        <v>41810</v>
      </c>
      <c r="V551" s="1">
        <v>42865.72</v>
      </c>
      <c r="X551" s="7">
        <f t="shared" si="33"/>
        <v>41810</v>
      </c>
      <c r="Y551" s="11">
        <f t="shared" si="34"/>
        <v>672.64705882352962</v>
      </c>
      <c r="Z551" s="11">
        <f t="shared" si="35"/>
        <v>486.10565206691922</v>
      </c>
    </row>
    <row r="552" spans="18:26">
      <c r="R552">
        <f t="shared" si="36"/>
        <v>2014</v>
      </c>
      <c r="S552" s="10">
        <v>41817</v>
      </c>
      <c r="T552" s="2">
        <v>22.5</v>
      </c>
      <c r="U552" s="13">
        <v>41817</v>
      </c>
      <c r="V552" s="1">
        <v>42493.86</v>
      </c>
      <c r="X552" s="7">
        <f t="shared" si="33"/>
        <v>41817</v>
      </c>
      <c r="Y552" s="11">
        <f t="shared" si="34"/>
        <v>661.76470588235304</v>
      </c>
      <c r="Z552" s="11">
        <f t="shared" si="35"/>
        <v>481.88868690740236</v>
      </c>
    </row>
    <row r="553" spans="18:26">
      <c r="R553">
        <f t="shared" si="36"/>
        <v>2014</v>
      </c>
      <c r="S553" s="10">
        <v>41824</v>
      </c>
      <c r="T553" s="2">
        <v>22.89</v>
      </c>
      <c r="U553" s="13">
        <v>41824</v>
      </c>
      <c r="V553" s="1">
        <v>43518.06</v>
      </c>
      <c r="X553" s="7">
        <f t="shared" si="33"/>
        <v>41824</v>
      </c>
      <c r="Y553" s="11">
        <f t="shared" si="34"/>
        <v>673.23529411764719</v>
      </c>
      <c r="Z553" s="11">
        <f t="shared" si="35"/>
        <v>493.50331530620065</v>
      </c>
    </row>
    <row r="554" spans="18:26">
      <c r="R554">
        <f t="shared" si="36"/>
        <v>2014</v>
      </c>
      <c r="S554" s="10">
        <v>41831</v>
      </c>
      <c r="T554" s="2">
        <v>21.95</v>
      </c>
      <c r="U554" s="13">
        <v>41831</v>
      </c>
      <c r="V554" s="1">
        <v>43481.83</v>
      </c>
      <c r="X554" s="7">
        <f t="shared" si="33"/>
        <v>41831</v>
      </c>
      <c r="Y554" s="11">
        <f t="shared" si="34"/>
        <v>645.58823529411779</v>
      </c>
      <c r="Z554" s="11">
        <f t="shared" si="35"/>
        <v>493.09246001730355</v>
      </c>
    </row>
    <row r="555" spans="18:26">
      <c r="R555">
        <f t="shared" si="36"/>
        <v>2014</v>
      </c>
      <c r="S555" s="10">
        <v>41838</v>
      </c>
      <c r="T555" s="2">
        <v>21.2</v>
      </c>
      <c r="U555" s="13">
        <v>41838</v>
      </c>
      <c r="V555" s="1">
        <v>44278.9</v>
      </c>
      <c r="X555" s="7">
        <f t="shared" si="33"/>
        <v>41838</v>
      </c>
      <c r="Y555" s="11">
        <f t="shared" si="34"/>
        <v>623.52941176470608</v>
      </c>
      <c r="Z555" s="11">
        <f t="shared" si="35"/>
        <v>502.13138977499761</v>
      </c>
    </row>
    <row r="556" spans="18:26">
      <c r="R556">
        <f t="shared" si="36"/>
        <v>2014</v>
      </c>
      <c r="S556" s="10">
        <v>41845</v>
      </c>
      <c r="T556" s="2">
        <v>21.66</v>
      </c>
      <c r="U556" s="13">
        <v>41845</v>
      </c>
      <c r="V556" s="1">
        <v>44386.62</v>
      </c>
      <c r="X556" s="7">
        <f t="shared" si="33"/>
        <v>41845</v>
      </c>
      <c r="Y556" s="11">
        <f t="shared" si="34"/>
        <v>637.05882352941194</v>
      </c>
      <c r="Z556" s="11">
        <f t="shared" si="35"/>
        <v>503.35295565189523</v>
      </c>
    </row>
    <row r="557" spans="18:26">
      <c r="R557">
        <f t="shared" si="36"/>
        <v>2014</v>
      </c>
      <c r="S557" s="10">
        <v>41852</v>
      </c>
      <c r="T557" s="2">
        <v>21.35</v>
      </c>
      <c r="U557" s="13">
        <v>41852</v>
      </c>
      <c r="V557" s="1">
        <v>43986.11</v>
      </c>
      <c r="X557" s="7">
        <f t="shared" si="33"/>
        <v>41852</v>
      </c>
      <c r="Y557" s="11">
        <f t="shared" si="34"/>
        <v>627.9411764705884</v>
      </c>
      <c r="Z557" s="11">
        <f t="shared" si="35"/>
        <v>498.8110938866123</v>
      </c>
    </row>
    <row r="558" spans="18:26">
      <c r="R558">
        <f t="shared" si="36"/>
        <v>2014</v>
      </c>
      <c r="S558" s="10">
        <v>41859</v>
      </c>
      <c r="T558" s="2">
        <v>21.45</v>
      </c>
      <c r="U558" s="13">
        <v>41859</v>
      </c>
      <c r="V558" s="1">
        <v>44105.95</v>
      </c>
      <c r="X558" s="7">
        <f t="shared" si="33"/>
        <v>41859</v>
      </c>
      <c r="Y558" s="11">
        <f t="shared" si="34"/>
        <v>630.88235294117669</v>
      </c>
      <c r="Z558" s="11">
        <f t="shared" si="35"/>
        <v>500.1701029349544</v>
      </c>
    </row>
    <row r="559" spans="18:26">
      <c r="R559">
        <f t="shared" si="36"/>
        <v>2014</v>
      </c>
      <c r="S559" s="10">
        <v>41866</v>
      </c>
      <c r="T559" s="2">
        <v>21.76</v>
      </c>
      <c r="U559" s="13">
        <v>41866</v>
      </c>
      <c r="V559" s="1">
        <v>44629.33</v>
      </c>
      <c r="X559" s="7">
        <f t="shared" si="33"/>
        <v>41866</v>
      </c>
      <c r="Y559" s="11">
        <f t="shared" si="34"/>
        <v>640.00000000000034</v>
      </c>
      <c r="Z559" s="11">
        <f t="shared" si="35"/>
        <v>506.10533454144058</v>
      </c>
    </row>
    <row r="560" spans="18:26">
      <c r="R560">
        <f t="shared" si="36"/>
        <v>2014</v>
      </c>
      <c r="S560" s="10">
        <v>41873</v>
      </c>
      <c r="T560" s="2">
        <v>22.17</v>
      </c>
      <c r="U560" s="13">
        <v>41873</v>
      </c>
      <c r="V560" s="1">
        <v>45374.99</v>
      </c>
      <c r="X560" s="7">
        <f t="shared" si="33"/>
        <v>41873</v>
      </c>
      <c r="Y560" s="11">
        <f t="shared" si="34"/>
        <v>652.05882352941205</v>
      </c>
      <c r="Z560" s="11">
        <f t="shared" si="35"/>
        <v>514.56126484006188</v>
      </c>
    </row>
    <row r="561" spans="18:26">
      <c r="R561">
        <f t="shared" si="36"/>
        <v>2014</v>
      </c>
      <c r="S561" s="10">
        <v>41880</v>
      </c>
      <c r="T561" s="2">
        <v>21.97</v>
      </c>
      <c r="U561" s="13">
        <v>41880</v>
      </c>
      <c r="V561" s="1">
        <v>45628.09</v>
      </c>
      <c r="X561" s="7">
        <f t="shared" si="33"/>
        <v>41880</v>
      </c>
      <c r="Y561" s="11">
        <f t="shared" si="34"/>
        <v>646.17647058823547</v>
      </c>
      <c r="Z561" s="11">
        <f t="shared" si="35"/>
        <v>517.43146836255346</v>
      </c>
    </row>
    <row r="562" spans="18:26">
      <c r="R562">
        <f t="shared" si="36"/>
        <v>2014</v>
      </c>
      <c r="S562" s="10">
        <v>41887</v>
      </c>
      <c r="T562" s="2">
        <v>21.85</v>
      </c>
      <c r="U562" s="13">
        <v>41887</v>
      </c>
      <c r="V562" s="1">
        <v>46231.44</v>
      </c>
      <c r="X562" s="7">
        <f t="shared" si="33"/>
        <v>41887</v>
      </c>
      <c r="Y562" s="11">
        <f t="shared" si="34"/>
        <v>642.64705882352973</v>
      </c>
      <c r="Z562" s="11">
        <f t="shared" si="35"/>
        <v>524.27357541626861</v>
      </c>
    </row>
    <row r="563" spans="18:26">
      <c r="R563">
        <f t="shared" si="36"/>
        <v>2014</v>
      </c>
      <c r="S563" s="10">
        <v>41894</v>
      </c>
      <c r="T563" s="2">
        <v>20.57</v>
      </c>
      <c r="U563" s="13">
        <v>41894</v>
      </c>
      <c r="V563" s="1">
        <v>45799.7</v>
      </c>
      <c r="X563" s="7">
        <f t="shared" si="33"/>
        <v>41894</v>
      </c>
      <c r="Y563" s="11">
        <f t="shared" si="34"/>
        <v>605.00000000000023</v>
      </c>
      <c r="Z563" s="11">
        <f t="shared" si="35"/>
        <v>519.37755934040717</v>
      </c>
    </row>
    <row r="564" spans="18:26">
      <c r="R564">
        <f t="shared" si="36"/>
        <v>2014</v>
      </c>
      <c r="S564" s="10">
        <v>41901</v>
      </c>
      <c r="T564" s="2">
        <v>20.190000000000001</v>
      </c>
      <c r="U564" s="13">
        <v>41901</v>
      </c>
      <c r="V564" s="1">
        <v>45761.9</v>
      </c>
      <c r="X564" s="7">
        <f t="shared" si="33"/>
        <v>41901</v>
      </c>
      <c r="Y564" s="11">
        <f t="shared" si="34"/>
        <v>593.82352941176498</v>
      </c>
      <c r="Z564" s="11">
        <f t="shared" si="35"/>
        <v>518.94889994431799</v>
      </c>
    </row>
    <row r="565" spans="18:26">
      <c r="R565">
        <f t="shared" si="36"/>
        <v>2014</v>
      </c>
      <c r="S565" s="10">
        <v>41908</v>
      </c>
      <c r="T565" s="2">
        <v>20.399999999999999</v>
      </c>
      <c r="U565" s="13">
        <v>41908</v>
      </c>
      <c r="V565" s="1">
        <v>44884.33</v>
      </c>
      <c r="X565" s="7">
        <f t="shared" si="33"/>
        <v>41908</v>
      </c>
      <c r="Y565" s="11">
        <f t="shared" si="34"/>
        <v>600.00000000000023</v>
      </c>
      <c r="Z565" s="11">
        <f t="shared" si="35"/>
        <v>508.99708443569324</v>
      </c>
    </row>
    <row r="566" spans="18:26">
      <c r="R566">
        <f t="shared" si="36"/>
        <v>2014</v>
      </c>
      <c r="S566" s="10">
        <v>41915</v>
      </c>
      <c r="T566" s="2">
        <v>20.38</v>
      </c>
      <c r="U566" s="13">
        <v>41915</v>
      </c>
      <c r="V566" s="1">
        <v>44678.14</v>
      </c>
      <c r="X566" s="7">
        <f t="shared" si="33"/>
        <v>41915</v>
      </c>
      <c r="Y566" s="11">
        <f t="shared" si="34"/>
        <v>599.41176470588255</v>
      </c>
      <c r="Z566" s="11">
        <f t="shared" si="35"/>
        <v>506.65884949178752</v>
      </c>
    </row>
    <row r="567" spans="18:26">
      <c r="R567">
        <f t="shared" si="36"/>
        <v>2014</v>
      </c>
      <c r="S567" s="10">
        <v>41922</v>
      </c>
      <c r="T567" s="2">
        <v>19.98</v>
      </c>
      <c r="U567" s="13">
        <v>41922</v>
      </c>
      <c r="V567" s="1">
        <v>43435.73</v>
      </c>
      <c r="X567" s="7">
        <f t="shared" si="33"/>
        <v>41922</v>
      </c>
      <c r="Y567" s="11">
        <f t="shared" si="34"/>
        <v>587.64705882352962</v>
      </c>
      <c r="Z567" s="11">
        <f t="shared" si="35"/>
        <v>492.56967699720536</v>
      </c>
    </row>
    <row r="568" spans="18:26">
      <c r="R568">
        <f t="shared" si="36"/>
        <v>2014</v>
      </c>
      <c r="S568" s="10">
        <v>41929</v>
      </c>
      <c r="T568" s="2">
        <v>20.37</v>
      </c>
      <c r="U568" s="13">
        <v>41929</v>
      </c>
      <c r="V568" s="1">
        <v>43273.5</v>
      </c>
      <c r="X568" s="7">
        <f t="shared" si="33"/>
        <v>41929</v>
      </c>
      <c r="Y568" s="11">
        <f t="shared" si="34"/>
        <v>599.11764705882376</v>
      </c>
      <c r="Z568" s="11">
        <f t="shared" si="35"/>
        <v>490.72995705467747</v>
      </c>
    </row>
    <row r="569" spans="18:26">
      <c r="R569">
        <f t="shared" si="36"/>
        <v>2014</v>
      </c>
      <c r="S569" s="10">
        <v>41936</v>
      </c>
      <c r="T569" s="2">
        <v>18.91</v>
      </c>
      <c r="U569" s="13">
        <v>41936</v>
      </c>
      <c r="V569" s="1">
        <v>43665.54</v>
      </c>
      <c r="X569" s="7">
        <f t="shared" si="33"/>
        <v>41936</v>
      </c>
      <c r="Y569" s="11">
        <f t="shared" si="34"/>
        <v>556.17647058823547</v>
      </c>
      <c r="Z569" s="11">
        <f t="shared" si="35"/>
        <v>495.17576736268848</v>
      </c>
    </row>
    <row r="570" spans="18:26">
      <c r="R570">
        <f t="shared" si="36"/>
        <v>2014</v>
      </c>
      <c r="S570" s="10">
        <v>41943</v>
      </c>
      <c r="T570" s="2">
        <v>19.84</v>
      </c>
      <c r="U570" s="13">
        <v>41943</v>
      </c>
      <c r="V570" s="1">
        <v>45027.519999999997</v>
      </c>
      <c r="X570" s="7">
        <f t="shared" si="33"/>
        <v>41943</v>
      </c>
      <c r="Y570" s="11">
        <f t="shared" si="34"/>
        <v>583.52941176470608</v>
      </c>
      <c r="Z570" s="11">
        <f t="shared" si="35"/>
        <v>510.62088705278347</v>
      </c>
    </row>
    <row r="571" spans="18:26">
      <c r="R571">
        <f t="shared" si="36"/>
        <v>2014</v>
      </c>
      <c r="S571" s="10">
        <v>41950</v>
      </c>
      <c r="T571" s="2">
        <v>20.399999999999999</v>
      </c>
      <c r="U571" s="13">
        <v>41950</v>
      </c>
      <c r="V571" s="1">
        <v>44614.66</v>
      </c>
      <c r="X571" s="7">
        <f t="shared" si="33"/>
        <v>41950</v>
      </c>
      <c r="Y571" s="11">
        <f t="shared" si="34"/>
        <v>600.00000000000011</v>
      </c>
      <c r="Z571" s="11">
        <f t="shared" si="35"/>
        <v>505.93897387105352</v>
      </c>
    </row>
    <row r="572" spans="18:26">
      <c r="R572">
        <f t="shared" si="36"/>
        <v>2014</v>
      </c>
      <c r="S572" s="10">
        <v>41957</v>
      </c>
      <c r="T572" s="2">
        <v>19.850000000000001</v>
      </c>
      <c r="U572" s="13">
        <v>41957</v>
      </c>
      <c r="V572" s="1">
        <v>43372.01</v>
      </c>
      <c r="X572" s="7">
        <f t="shared" si="33"/>
        <v>41957</v>
      </c>
      <c r="Y572" s="11">
        <f t="shared" si="34"/>
        <v>583.82352941176487</v>
      </c>
      <c r="Z572" s="11">
        <f t="shared" si="35"/>
        <v>491.84707972951207</v>
      </c>
    </row>
    <row r="573" spans="18:26">
      <c r="R573">
        <f t="shared" si="36"/>
        <v>2014</v>
      </c>
      <c r="S573" s="10">
        <v>41964</v>
      </c>
      <c r="T573" s="2">
        <v>20.56</v>
      </c>
      <c r="U573" s="13">
        <v>41964</v>
      </c>
      <c r="V573" s="1">
        <v>44633.279999999999</v>
      </c>
      <c r="X573" s="7">
        <f t="shared" si="33"/>
        <v>41964</v>
      </c>
      <c r="Y573" s="11">
        <f t="shared" si="34"/>
        <v>604.70588235294133</v>
      </c>
      <c r="Z573" s="11">
        <f t="shared" si="35"/>
        <v>506.15012831431227</v>
      </c>
    </row>
    <row r="574" spans="18:26">
      <c r="R574">
        <f t="shared" si="36"/>
        <v>2014</v>
      </c>
      <c r="S574" s="10">
        <v>41971</v>
      </c>
      <c r="T574" s="2">
        <v>20.05</v>
      </c>
      <c r="U574" s="13">
        <v>41971</v>
      </c>
      <c r="V574" s="1">
        <v>44190.47</v>
      </c>
      <c r="X574" s="7">
        <f t="shared" si="33"/>
        <v>41971</v>
      </c>
      <c r="Y574" s="11">
        <f t="shared" si="34"/>
        <v>589.70588235294133</v>
      </c>
      <c r="Z574" s="11">
        <f t="shared" si="35"/>
        <v>501.12857627245336</v>
      </c>
    </row>
    <row r="575" spans="18:26">
      <c r="R575">
        <f t="shared" si="36"/>
        <v>2014</v>
      </c>
      <c r="S575" s="10">
        <v>41978</v>
      </c>
      <c r="T575" s="2">
        <v>19.940000000000001</v>
      </c>
      <c r="U575" s="13">
        <v>41978</v>
      </c>
      <c r="V575" s="1">
        <v>43230.34</v>
      </c>
      <c r="X575" s="7">
        <f t="shared" si="33"/>
        <v>41978</v>
      </c>
      <c r="Y575" s="11">
        <f t="shared" si="34"/>
        <v>586.47058823529426</v>
      </c>
      <c r="Z575" s="11">
        <f t="shared" si="35"/>
        <v>490.24051420983056</v>
      </c>
    </row>
    <row r="576" spans="18:26">
      <c r="R576">
        <f t="shared" si="36"/>
        <v>2014</v>
      </c>
      <c r="S576" s="10">
        <v>41985</v>
      </c>
      <c r="T576" s="2">
        <v>18.059999999999999</v>
      </c>
      <c r="U576" s="13">
        <v>41985</v>
      </c>
      <c r="V576" s="1">
        <v>41714.57</v>
      </c>
      <c r="X576" s="7">
        <f t="shared" si="33"/>
        <v>41985</v>
      </c>
      <c r="Y576" s="11">
        <f t="shared" si="34"/>
        <v>531.17647058823536</v>
      </c>
      <c r="Z576" s="11">
        <f t="shared" si="35"/>
        <v>473.05138582860957</v>
      </c>
    </row>
    <row r="577" spans="18:26">
      <c r="R577">
        <f t="shared" si="36"/>
        <v>2014</v>
      </c>
      <c r="S577" s="10">
        <v>41992</v>
      </c>
      <c r="T577" s="2">
        <v>19.670000000000002</v>
      </c>
      <c r="U577" s="13">
        <v>41992</v>
      </c>
      <c r="V577" s="1">
        <v>42529.89</v>
      </c>
      <c r="X577" s="7">
        <f t="shared" si="33"/>
        <v>41992</v>
      </c>
      <c r="Y577" s="11">
        <f t="shared" si="34"/>
        <v>578.52941176470608</v>
      </c>
      <c r="Z577" s="11">
        <f t="shared" si="35"/>
        <v>482.29727415716673</v>
      </c>
    </row>
    <row r="578" spans="18:26">
      <c r="R578">
        <f t="shared" si="36"/>
        <v>2014</v>
      </c>
      <c r="S578" s="10">
        <v>41999</v>
      </c>
      <c r="T578" s="2">
        <v>20.12</v>
      </c>
      <c r="U578" s="13">
        <v>41999</v>
      </c>
      <c r="V578" s="1">
        <v>43002.17</v>
      </c>
      <c r="X578" s="7">
        <f t="shared" si="33"/>
        <v>41999</v>
      </c>
      <c r="Y578" s="11">
        <f t="shared" si="34"/>
        <v>591.76470588235316</v>
      </c>
      <c r="Z578" s="11">
        <f t="shared" si="35"/>
        <v>487.65302176523596</v>
      </c>
    </row>
    <row r="579" spans="18:26">
      <c r="R579">
        <f t="shared" si="36"/>
        <v>2015</v>
      </c>
      <c r="S579" s="10">
        <v>42006</v>
      </c>
      <c r="T579" s="2">
        <v>19.79</v>
      </c>
      <c r="U579" s="13">
        <v>42006</v>
      </c>
      <c r="V579" s="1">
        <v>42115.47</v>
      </c>
      <c r="X579" s="7">
        <f t="shared" si="33"/>
        <v>42006</v>
      </c>
      <c r="Y579" s="11">
        <f t="shared" si="34"/>
        <v>582.05882352941194</v>
      </c>
      <c r="Z579" s="11">
        <f t="shared" si="35"/>
        <v>477.59767027020132</v>
      </c>
    </row>
    <row r="580" spans="18:26">
      <c r="R580">
        <f t="shared" si="36"/>
        <v>2015</v>
      </c>
      <c r="S580" s="10">
        <v>42013</v>
      </c>
      <c r="T580" s="2">
        <v>19.87</v>
      </c>
      <c r="U580" s="13">
        <v>42013</v>
      </c>
      <c r="V580" s="1">
        <v>42382.41</v>
      </c>
      <c r="X580" s="7">
        <f t="shared" si="33"/>
        <v>42013</v>
      </c>
      <c r="Y580" s="11">
        <f t="shared" si="34"/>
        <v>584.41176470588255</v>
      </c>
      <c r="Z580" s="11">
        <f t="shared" si="35"/>
        <v>480.62482210067907</v>
      </c>
    </row>
    <row r="581" spans="18:26">
      <c r="R581">
        <f t="shared" si="36"/>
        <v>2015</v>
      </c>
      <c r="S581" s="10">
        <v>42020</v>
      </c>
      <c r="T581" s="2">
        <v>20.260000000000002</v>
      </c>
      <c r="U581" s="13">
        <v>42020</v>
      </c>
      <c r="V581" s="1">
        <v>41402.01</v>
      </c>
      <c r="X581" s="7">
        <f t="shared" ref="X581:X644" si="37">+S581</f>
        <v>42020</v>
      </c>
      <c r="Y581" s="11">
        <f t="shared" si="34"/>
        <v>595.88235294117669</v>
      </c>
      <c r="Z581" s="11">
        <f t="shared" si="35"/>
        <v>469.50689427195238</v>
      </c>
    </row>
    <row r="582" spans="18:26">
      <c r="R582">
        <f t="shared" si="36"/>
        <v>2015</v>
      </c>
      <c r="S582" s="10">
        <v>42027</v>
      </c>
      <c r="T582" s="2">
        <v>19.62</v>
      </c>
      <c r="U582" s="13">
        <v>42027</v>
      </c>
      <c r="V582" s="1">
        <v>42649.72</v>
      </c>
      <c r="X582" s="7">
        <f t="shared" si="37"/>
        <v>42027</v>
      </c>
      <c r="Y582" s="11">
        <f t="shared" ref="Y582:Y645" si="38">+Y581*(T582/T581)</f>
        <v>577.05882352941194</v>
      </c>
      <c r="Z582" s="11">
        <f t="shared" ref="Z582:Z645" si="39">+Z581*(V582/V581)</f>
        <v>483.65616980355236</v>
      </c>
    </row>
    <row r="583" spans="18:26">
      <c r="R583">
        <f t="shared" ref="R583:R646" si="40">+YEAR(S583)</f>
        <v>2015</v>
      </c>
      <c r="S583" s="10">
        <v>42034</v>
      </c>
      <c r="T583" s="2">
        <v>18.73</v>
      </c>
      <c r="U583" s="13">
        <v>42034</v>
      </c>
      <c r="V583" s="1">
        <v>40950.58</v>
      </c>
      <c r="X583" s="7">
        <f t="shared" si="37"/>
        <v>42034</v>
      </c>
      <c r="Y583" s="11">
        <f t="shared" si="38"/>
        <v>550.88235294117658</v>
      </c>
      <c r="Z583" s="11">
        <f t="shared" si="39"/>
        <v>464.38758974347206</v>
      </c>
    </row>
    <row r="584" spans="18:26">
      <c r="R584">
        <f t="shared" si="40"/>
        <v>2015</v>
      </c>
      <c r="S584" s="10">
        <v>42041</v>
      </c>
      <c r="T584" s="2">
        <v>19.579999999999998</v>
      </c>
      <c r="U584" s="13">
        <v>42041</v>
      </c>
      <c r="V584" s="1">
        <v>42715.43</v>
      </c>
      <c r="X584" s="7">
        <f t="shared" si="37"/>
        <v>42041</v>
      </c>
      <c r="Y584" s="11">
        <f t="shared" si="38"/>
        <v>575.88235294117646</v>
      </c>
      <c r="Z584" s="11">
        <f t="shared" si="39"/>
        <v>484.40133406061642</v>
      </c>
    </row>
    <row r="585" spans="18:26">
      <c r="R585">
        <f t="shared" si="40"/>
        <v>2015</v>
      </c>
      <c r="S585" s="10">
        <v>42048</v>
      </c>
      <c r="T585" s="2">
        <v>19.7</v>
      </c>
      <c r="U585" s="13">
        <v>42048</v>
      </c>
      <c r="V585" s="1">
        <v>43072.42</v>
      </c>
      <c r="X585" s="7">
        <f t="shared" si="37"/>
        <v>42048</v>
      </c>
      <c r="Y585" s="11">
        <f t="shared" si="38"/>
        <v>579.41176470588232</v>
      </c>
      <c r="Z585" s="11">
        <f t="shared" si="39"/>
        <v>488.44967051061354</v>
      </c>
    </row>
    <row r="586" spans="18:26">
      <c r="R586">
        <f t="shared" si="40"/>
        <v>2015</v>
      </c>
      <c r="S586" s="10">
        <v>42055</v>
      </c>
      <c r="T586" s="2">
        <v>20.190000000000001</v>
      </c>
      <c r="U586" s="13">
        <v>42055</v>
      </c>
      <c r="V586" s="1">
        <v>43551.26</v>
      </c>
      <c r="X586" s="7">
        <f t="shared" si="37"/>
        <v>42055</v>
      </c>
      <c r="Y586" s="11">
        <f t="shared" si="38"/>
        <v>593.82352941176464</v>
      </c>
      <c r="Z586" s="11">
        <f t="shared" si="39"/>
        <v>493.87980980223688</v>
      </c>
    </row>
    <row r="587" spans="18:26">
      <c r="R587">
        <f t="shared" si="40"/>
        <v>2015</v>
      </c>
      <c r="S587" s="10">
        <v>42062</v>
      </c>
      <c r="T587" s="2">
        <v>19.600000000000001</v>
      </c>
      <c r="U587" s="13">
        <v>42062</v>
      </c>
      <c r="V587" s="1">
        <v>44190.17</v>
      </c>
      <c r="X587" s="7">
        <f t="shared" si="37"/>
        <v>42062</v>
      </c>
      <c r="Y587" s="11">
        <f t="shared" si="38"/>
        <v>576.47058823529403</v>
      </c>
      <c r="Z587" s="11">
        <f t="shared" si="39"/>
        <v>501.12517421375435</v>
      </c>
    </row>
    <row r="588" spans="18:26">
      <c r="R588">
        <f t="shared" si="40"/>
        <v>2015</v>
      </c>
      <c r="S588" s="10">
        <v>42069</v>
      </c>
      <c r="T588" s="2">
        <v>18.96</v>
      </c>
      <c r="U588" s="13">
        <v>42069</v>
      </c>
      <c r="V588" s="1">
        <v>43280.81</v>
      </c>
      <c r="X588" s="7">
        <f t="shared" si="37"/>
        <v>42069</v>
      </c>
      <c r="Y588" s="11">
        <f t="shared" si="38"/>
        <v>557.64705882352928</v>
      </c>
      <c r="Z588" s="11">
        <f t="shared" si="39"/>
        <v>490.8128538849794</v>
      </c>
    </row>
    <row r="589" spans="18:26">
      <c r="R589">
        <f t="shared" si="40"/>
        <v>2015</v>
      </c>
      <c r="S589" s="10">
        <v>42076</v>
      </c>
      <c r="T589" s="2">
        <v>19.96</v>
      </c>
      <c r="U589" s="13">
        <v>42076</v>
      </c>
      <c r="V589" s="1">
        <v>44002.29</v>
      </c>
      <c r="X589" s="7">
        <f t="shared" si="37"/>
        <v>42076</v>
      </c>
      <c r="Y589" s="11">
        <f t="shared" si="38"/>
        <v>587.0588235294116</v>
      </c>
      <c r="Z589" s="11">
        <f t="shared" si="39"/>
        <v>498.99457825245167</v>
      </c>
    </row>
    <row r="590" spans="18:26">
      <c r="R590">
        <f t="shared" si="40"/>
        <v>2015</v>
      </c>
      <c r="S590" s="10">
        <v>42083</v>
      </c>
      <c r="T590" s="2">
        <v>19.91</v>
      </c>
      <c r="U590" s="13">
        <v>42083</v>
      </c>
      <c r="V590" s="1">
        <v>43968.15</v>
      </c>
      <c r="X590" s="7">
        <f t="shared" si="37"/>
        <v>42083</v>
      </c>
      <c r="Y590" s="11">
        <f t="shared" si="38"/>
        <v>585.58823529411745</v>
      </c>
      <c r="Z590" s="11">
        <f t="shared" si="39"/>
        <v>498.60742397249169</v>
      </c>
    </row>
    <row r="591" spans="18:26">
      <c r="R591">
        <f t="shared" si="40"/>
        <v>2015</v>
      </c>
      <c r="S591" s="10">
        <v>42090</v>
      </c>
      <c r="T591" s="2">
        <v>19.989999999999998</v>
      </c>
      <c r="U591" s="13">
        <v>42090</v>
      </c>
      <c r="V591" s="1">
        <v>43637.97</v>
      </c>
      <c r="X591" s="7">
        <f t="shared" si="37"/>
        <v>42090</v>
      </c>
      <c r="Y591" s="11">
        <f t="shared" si="38"/>
        <v>587.94117647058806</v>
      </c>
      <c r="Z591" s="11">
        <f t="shared" si="39"/>
        <v>494.8631181682394</v>
      </c>
    </row>
    <row r="592" spans="18:26">
      <c r="R592">
        <f t="shared" si="40"/>
        <v>2015</v>
      </c>
      <c r="S592" s="10">
        <v>42097</v>
      </c>
      <c r="T592" s="2">
        <v>20.83</v>
      </c>
      <c r="U592" s="13">
        <v>42097</v>
      </c>
      <c r="V592" s="1">
        <v>44202.94</v>
      </c>
      <c r="X592" s="7">
        <f t="shared" si="37"/>
        <v>42097</v>
      </c>
      <c r="Y592" s="11">
        <f t="shared" si="38"/>
        <v>612.64705882352916</v>
      </c>
      <c r="Z592" s="11">
        <f t="shared" si="39"/>
        <v>501.26998851238028</v>
      </c>
    </row>
    <row r="593" spans="18:26">
      <c r="R593">
        <f t="shared" si="40"/>
        <v>2015</v>
      </c>
      <c r="S593" s="10">
        <v>42104</v>
      </c>
      <c r="T593" s="2">
        <v>20.27</v>
      </c>
      <c r="U593" s="13">
        <v>42104</v>
      </c>
      <c r="V593" s="1">
        <v>44882.01</v>
      </c>
      <c r="X593" s="7">
        <f t="shared" si="37"/>
        <v>42104</v>
      </c>
      <c r="Y593" s="11">
        <f t="shared" si="38"/>
        <v>596.17647058823513</v>
      </c>
      <c r="Z593" s="11">
        <f t="shared" si="39"/>
        <v>508.97077518175342</v>
      </c>
    </row>
    <row r="594" spans="18:26">
      <c r="R594">
        <f t="shared" si="40"/>
        <v>2015</v>
      </c>
      <c r="S594" s="10">
        <v>42111</v>
      </c>
      <c r="T594" s="2">
        <v>20.57</v>
      </c>
      <c r="U594" s="13">
        <v>42111</v>
      </c>
      <c r="V594" s="1">
        <v>45012.37</v>
      </c>
      <c r="X594" s="7">
        <f t="shared" si="37"/>
        <v>42111</v>
      </c>
      <c r="Y594" s="11">
        <f t="shared" si="38"/>
        <v>604.99999999999989</v>
      </c>
      <c r="Z594" s="11">
        <f t="shared" si="39"/>
        <v>510.44908308847806</v>
      </c>
    </row>
    <row r="595" spans="18:26">
      <c r="R595">
        <f t="shared" si="40"/>
        <v>2015</v>
      </c>
      <c r="S595" s="10">
        <v>42118</v>
      </c>
      <c r="T595" s="2">
        <v>22.04</v>
      </c>
      <c r="U595" s="13">
        <v>42118</v>
      </c>
      <c r="V595" s="1">
        <v>45773.31</v>
      </c>
      <c r="X595" s="7">
        <f t="shared" si="37"/>
        <v>42118</v>
      </c>
      <c r="Y595" s="11">
        <f t="shared" si="38"/>
        <v>648.23529411764696</v>
      </c>
      <c r="Z595" s="11">
        <f t="shared" si="39"/>
        <v>519.07829157684125</v>
      </c>
    </row>
    <row r="596" spans="18:26">
      <c r="R596">
        <f t="shared" si="40"/>
        <v>2015</v>
      </c>
      <c r="S596" s="10">
        <v>42125</v>
      </c>
      <c r="T596" s="2">
        <v>22.16</v>
      </c>
      <c r="U596" s="13">
        <v>42125</v>
      </c>
      <c r="V596" s="1">
        <v>44582.39</v>
      </c>
      <c r="X596" s="7">
        <f t="shared" si="37"/>
        <v>42125</v>
      </c>
      <c r="Y596" s="11">
        <f t="shared" si="38"/>
        <v>651.76470588235293</v>
      </c>
      <c r="Z596" s="11">
        <f t="shared" si="39"/>
        <v>505.57302575698486</v>
      </c>
    </row>
    <row r="597" spans="18:26">
      <c r="R597">
        <f t="shared" si="40"/>
        <v>2015</v>
      </c>
      <c r="S597" s="10">
        <v>42132</v>
      </c>
      <c r="T597" s="2">
        <v>22.74</v>
      </c>
      <c r="U597" s="13">
        <v>42132</v>
      </c>
      <c r="V597" s="1">
        <v>45125.95</v>
      </c>
      <c r="X597" s="7">
        <f t="shared" si="37"/>
        <v>42132</v>
      </c>
      <c r="Y597" s="11">
        <f t="shared" si="38"/>
        <v>668.82352941176464</v>
      </c>
      <c r="Z597" s="11">
        <f t="shared" si="39"/>
        <v>511.73710251196513</v>
      </c>
    </row>
    <row r="598" spans="18:26">
      <c r="R598">
        <f t="shared" si="40"/>
        <v>2015</v>
      </c>
      <c r="S598" s="10">
        <v>42139</v>
      </c>
      <c r="T598" s="2">
        <v>22.29</v>
      </c>
      <c r="U598" s="13">
        <v>42139</v>
      </c>
      <c r="V598" s="1">
        <v>45332.800000000003</v>
      </c>
      <c r="X598" s="7">
        <f t="shared" si="37"/>
        <v>42139</v>
      </c>
      <c r="Y598" s="11">
        <f t="shared" si="38"/>
        <v>655.58823529411757</v>
      </c>
      <c r="Z598" s="11">
        <f t="shared" si="39"/>
        <v>514.08282198500899</v>
      </c>
    </row>
    <row r="599" spans="18:26">
      <c r="R599">
        <f t="shared" si="40"/>
        <v>2015</v>
      </c>
      <c r="S599" s="10">
        <v>42146</v>
      </c>
      <c r="T599" s="2">
        <v>22.26</v>
      </c>
      <c r="U599" s="13">
        <v>42146</v>
      </c>
      <c r="V599" s="1">
        <v>44874.04</v>
      </c>
      <c r="X599" s="7">
        <f t="shared" si="37"/>
        <v>42146</v>
      </c>
      <c r="Y599" s="11">
        <f t="shared" si="38"/>
        <v>654.7058823529411</v>
      </c>
      <c r="Z599" s="11">
        <f t="shared" si="39"/>
        <v>508.88039382231347</v>
      </c>
    </row>
    <row r="600" spans="18:26">
      <c r="R600">
        <f t="shared" si="40"/>
        <v>2015</v>
      </c>
      <c r="S600" s="10">
        <v>42153</v>
      </c>
      <c r="T600" s="2">
        <v>22.65</v>
      </c>
      <c r="U600" s="13">
        <v>42153</v>
      </c>
      <c r="V600" s="1">
        <v>44703.62</v>
      </c>
      <c r="X600" s="7">
        <f t="shared" si="37"/>
        <v>42153</v>
      </c>
      <c r="Y600" s="11">
        <f t="shared" si="38"/>
        <v>666.17647058823513</v>
      </c>
      <c r="Z600" s="11">
        <f t="shared" si="39"/>
        <v>506.9477976772996</v>
      </c>
    </row>
    <row r="601" spans="18:26">
      <c r="R601">
        <f t="shared" si="40"/>
        <v>2015</v>
      </c>
      <c r="S601" s="10">
        <v>42160</v>
      </c>
      <c r="T601" s="2">
        <v>22.06</v>
      </c>
      <c r="U601" s="13">
        <v>42160</v>
      </c>
      <c r="V601" s="1">
        <v>44561.94</v>
      </c>
      <c r="X601" s="7">
        <f t="shared" si="37"/>
        <v>42160</v>
      </c>
      <c r="Y601" s="11">
        <f t="shared" si="38"/>
        <v>648.82352941176453</v>
      </c>
      <c r="Z601" s="11">
        <f t="shared" si="39"/>
        <v>505.34111875566145</v>
      </c>
    </row>
    <row r="602" spans="18:26">
      <c r="R602">
        <f t="shared" si="40"/>
        <v>2015</v>
      </c>
      <c r="S602" s="10">
        <v>42167</v>
      </c>
      <c r="T602" s="2">
        <v>21.93</v>
      </c>
      <c r="U602" s="13">
        <v>42167</v>
      </c>
      <c r="V602" s="1">
        <v>44692.5</v>
      </c>
      <c r="X602" s="7">
        <f t="shared" si="37"/>
        <v>42167</v>
      </c>
      <c r="Y602" s="11">
        <f t="shared" si="38"/>
        <v>644.99999999999989</v>
      </c>
      <c r="Z602" s="11">
        <f t="shared" si="39"/>
        <v>506.82169470151882</v>
      </c>
    </row>
    <row r="603" spans="18:26">
      <c r="R603">
        <f t="shared" si="40"/>
        <v>2015</v>
      </c>
      <c r="S603" s="10">
        <v>42174</v>
      </c>
      <c r="T603" s="2">
        <v>22.24</v>
      </c>
      <c r="U603" s="13">
        <v>42174</v>
      </c>
      <c r="V603" s="1">
        <v>44973.41</v>
      </c>
      <c r="X603" s="7">
        <f t="shared" si="37"/>
        <v>42174</v>
      </c>
      <c r="Y603" s="11">
        <f t="shared" si="38"/>
        <v>654.11764705882342</v>
      </c>
      <c r="Z603" s="11">
        <f t="shared" si="39"/>
        <v>510.00726906541894</v>
      </c>
    </row>
    <row r="604" spans="18:26">
      <c r="R604">
        <f t="shared" si="40"/>
        <v>2015</v>
      </c>
      <c r="S604" s="10">
        <v>42181</v>
      </c>
      <c r="T604" s="2">
        <v>22.2</v>
      </c>
      <c r="U604" s="13">
        <v>42181</v>
      </c>
      <c r="V604" s="1">
        <v>45566.33</v>
      </c>
      <c r="X604" s="7">
        <f t="shared" si="37"/>
        <v>42181</v>
      </c>
      <c r="Y604" s="11">
        <f t="shared" si="38"/>
        <v>652.94117647058818</v>
      </c>
      <c r="Z604" s="11">
        <f t="shared" si="39"/>
        <v>516.73109787836131</v>
      </c>
    </row>
    <row r="605" spans="18:26">
      <c r="R605">
        <f t="shared" si="40"/>
        <v>2015</v>
      </c>
      <c r="S605" s="10">
        <v>42188</v>
      </c>
      <c r="T605" s="2">
        <v>22.61</v>
      </c>
      <c r="U605" s="13">
        <v>42188</v>
      </c>
      <c r="V605" s="1">
        <v>45065.47</v>
      </c>
      <c r="X605" s="7">
        <f t="shared" si="37"/>
        <v>42188</v>
      </c>
      <c r="Y605" s="11">
        <f t="shared" si="38"/>
        <v>664.99999999999989</v>
      </c>
      <c r="Z605" s="11">
        <f t="shared" si="39"/>
        <v>511.05124747822254</v>
      </c>
    </row>
    <row r="606" spans="18:26">
      <c r="R606">
        <f t="shared" si="40"/>
        <v>2015</v>
      </c>
      <c r="S606" s="10">
        <v>42195</v>
      </c>
      <c r="T606" s="2">
        <v>23.57</v>
      </c>
      <c r="U606" s="13">
        <v>42195</v>
      </c>
      <c r="V606" s="1">
        <v>44915.98</v>
      </c>
      <c r="X606" s="7">
        <f t="shared" si="37"/>
        <v>42195</v>
      </c>
      <c r="Y606" s="11">
        <f t="shared" si="38"/>
        <v>693.23529411764707</v>
      </c>
      <c r="Z606" s="11">
        <f t="shared" si="39"/>
        <v>509.35600162845066</v>
      </c>
    </row>
    <row r="607" spans="18:26">
      <c r="R607">
        <f t="shared" si="40"/>
        <v>2015</v>
      </c>
      <c r="S607" s="10">
        <v>42202</v>
      </c>
      <c r="T607" s="2">
        <v>23.46</v>
      </c>
      <c r="U607" s="13">
        <v>42202</v>
      </c>
      <c r="V607" s="1">
        <v>45325.38</v>
      </c>
      <c r="X607" s="7">
        <f t="shared" si="37"/>
        <v>42202</v>
      </c>
      <c r="Y607" s="11">
        <f t="shared" si="38"/>
        <v>690.00000000000011</v>
      </c>
      <c r="Z607" s="11">
        <f t="shared" si="39"/>
        <v>513.99867773318408</v>
      </c>
    </row>
    <row r="608" spans="18:26">
      <c r="R608">
        <f t="shared" si="40"/>
        <v>2015</v>
      </c>
      <c r="S608" s="10">
        <v>42209</v>
      </c>
      <c r="T608" s="2">
        <v>23.69</v>
      </c>
      <c r="U608" s="13">
        <v>42209</v>
      </c>
      <c r="V608" s="1">
        <v>44249.49</v>
      </c>
      <c r="X608" s="7">
        <f t="shared" si="37"/>
        <v>42209</v>
      </c>
      <c r="Y608" s="11">
        <f t="shared" si="38"/>
        <v>696.76470588235304</v>
      </c>
      <c r="Z608" s="11">
        <f t="shared" si="39"/>
        <v>501.79787462052724</v>
      </c>
    </row>
    <row r="609" spans="18:26">
      <c r="R609">
        <f t="shared" si="40"/>
        <v>2015</v>
      </c>
      <c r="S609" s="10">
        <v>42216</v>
      </c>
      <c r="T609" s="2">
        <v>24.6</v>
      </c>
      <c r="U609" s="13">
        <v>42216</v>
      </c>
      <c r="V609" s="1">
        <v>44752.93</v>
      </c>
      <c r="X609" s="7">
        <f t="shared" si="37"/>
        <v>42216</v>
      </c>
      <c r="Y609" s="11">
        <f t="shared" si="38"/>
        <v>723.52941176470597</v>
      </c>
      <c r="Z609" s="11">
        <f t="shared" si="39"/>
        <v>507.50698272547845</v>
      </c>
    </row>
    <row r="610" spans="18:26">
      <c r="R610">
        <f t="shared" si="40"/>
        <v>2015</v>
      </c>
      <c r="S610" s="10">
        <v>42223</v>
      </c>
      <c r="T610" s="2">
        <v>25.43</v>
      </c>
      <c r="U610" s="13">
        <v>42223</v>
      </c>
      <c r="V610" s="1">
        <v>44862.14</v>
      </c>
      <c r="X610" s="7">
        <f t="shared" si="37"/>
        <v>42223</v>
      </c>
      <c r="Y610" s="11">
        <f t="shared" si="38"/>
        <v>747.94117647058829</v>
      </c>
      <c r="Z610" s="11">
        <f t="shared" si="39"/>
        <v>508.7454454939151</v>
      </c>
    </row>
    <row r="611" spans="18:26">
      <c r="R611">
        <f t="shared" si="40"/>
        <v>2015</v>
      </c>
      <c r="S611" s="10">
        <v>42230</v>
      </c>
      <c r="T611" s="2">
        <v>24.42</v>
      </c>
      <c r="U611" s="13">
        <v>42230</v>
      </c>
      <c r="V611" s="1">
        <v>43746.720000000001</v>
      </c>
      <c r="X611" s="7">
        <f t="shared" si="37"/>
        <v>42230</v>
      </c>
      <c r="Y611" s="11">
        <f t="shared" si="38"/>
        <v>718.23529411764719</v>
      </c>
      <c r="Z611" s="11">
        <f t="shared" si="39"/>
        <v>496.09636444667075</v>
      </c>
    </row>
    <row r="612" spans="18:26">
      <c r="R612">
        <f t="shared" si="40"/>
        <v>2015</v>
      </c>
      <c r="S612" s="10">
        <v>42237</v>
      </c>
      <c r="T612" s="2">
        <v>23.69</v>
      </c>
      <c r="U612" s="13">
        <v>42237</v>
      </c>
      <c r="V612" s="1">
        <v>42163.82</v>
      </c>
      <c r="X612" s="7">
        <f t="shared" si="37"/>
        <v>42237</v>
      </c>
      <c r="Y612" s="11">
        <f t="shared" si="38"/>
        <v>696.76470588235304</v>
      </c>
      <c r="Z612" s="11">
        <f t="shared" si="39"/>
        <v>478.14596873054307</v>
      </c>
    </row>
    <row r="613" spans="18:26">
      <c r="R613">
        <f t="shared" si="40"/>
        <v>2015</v>
      </c>
      <c r="S613" s="10">
        <v>42244</v>
      </c>
      <c r="T613" s="2">
        <v>24.44</v>
      </c>
      <c r="U613" s="13">
        <v>42244</v>
      </c>
      <c r="V613" s="1">
        <v>43290.86</v>
      </c>
      <c r="X613" s="7">
        <f t="shared" si="37"/>
        <v>42244</v>
      </c>
      <c r="Y613" s="11">
        <f t="shared" si="38"/>
        <v>718.82352941176487</v>
      </c>
      <c r="Z613" s="11">
        <f t="shared" si="39"/>
        <v>490.9268228514</v>
      </c>
    </row>
    <row r="614" spans="18:26">
      <c r="R614">
        <f t="shared" si="40"/>
        <v>2015</v>
      </c>
      <c r="S614" s="10">
        <v>42251</v>
      </c>
      <c r="T614" s="2">
        <v>25.33</v>
      </c>
      <c r="U614" s="13">
        <v>42251</v>
      </c>
      <c r="V614" s="1">
        <v>42742.86</v>
      </c>
      <c r="X614" s="7">
        <f t="shared" si="37"/>
        <v>42251</v>
      </c>
      <c r="Y614" s="11">
        <f t="shared" si="38"/>
        <v>745.00000000000011</v>
      </c>
      <c r="Z614" s="11">
        <f t="shared" si="39"/>
        <v>484.71239562767272</v>
      </c>
    </row>
    <row r="615" spans="18:26">
      <c r="R615">
        <f t="shared" si="40"/>
        <v>2015</v>
      </c>
      <c r="S615" s="10">
        <v>42258</v>
      </c>
      <c r="T615" s="2">
        <v>25.04</v>
      </c>
      <c r="U615" s="13">
        <v>42258</v>
      </c>
      <c r="V615" s="1">
        <v>42780.73</v>
      </c>
      <c r="X615" s="7">
        <f t="shared" si="37"/>
        <v>42258</v>
      </c>
      <c r="Y615" s="11">
        <f t="shared" si="38"/>
        <v>736.47058823529426</v>
      </c>
      <c r="Z615" s="11">
        <f t="shared" si="39"/>
        <v>485.1418488374585</v>
      </c>
    </row>
    <row r="616" spans="18:26">
      <c r="R616">
        <f t="shared" si="40"/>
        <v>2015</v>
      </c>
      <c r="S616" s="10">
        <v>42265</v>
      </c>
      <c r="T616" s="2">
        <v>25.36</v>
      </c>
      <c r="U616" s="13">
        <v>42265</v>
      </c>
      <c r="V616" s="1">
        <v>43565.05</v>
      </c>
      <c r="X616" s="7">
        <f t="shared" si="37"/>
        <v>42265</v>
      </c>
      <c r="Y616" s="11">
        <f t="shared" si="38"/>
        <v>745.88235294117658</v>
      </c>
      <c r="Z616" s="11">
        <f t="shared" si="39"/>
        <v>494.03619110043991</v>
      </c>
    </row>
    <row r="617" spans="18:26">
      <c r="R617">
        <f t="shared" si="40"/>
        <v>2015</v>
      </c>
      <c r="S617" s="10">
        <v>42272</v>
      </c>
      <c r="T617" s="2">
        <v>25.11</v>
      </c>
      <c r="U617" s="13">
        <v>42272</v>
      </c>
      <c r="V617" s="1">
        <v>42435.23</v>
      </c>
      <c r="X617" s="7">
        <f t="shared" si="37"/>
        <v>42272</v>
      </c>
      <c r="Y617" s="11">
        <f t="shared" si="38"/>
        <v>738.52941176470597</v>
      </c>
      <c r="Z617" s="11">
        <f t="shared" si="39"/>
        <v>481.22381123563775</v>
      </c>
    </row>
    <row r="618" spans="18:26">
      <c r="R618">
        <f t="shared" si="40"/>
        <v>2015</v>
      </c>
      <c r="S618" s="10">
        <v>42279</v>
      </c>
      <c r="T618" s="2">
        <v>25.34</v>
      </c>
      <c r="U618" s="13">
        <v>42279</v>
      </c>
      <c r="V618" s="1">
        <v>42735.15</v>
      </c>
      <c r="X618" s="7">
        <f t="shared" si="37"/>
        <v>42279</v>
      </c>
      <c r="Y618" s="11">
        <f t="shared" si="38"/>
        <v>745.2941176470589</v>
      </c>
      <c r="Z618" s="11">
        <f t="shared" si="39"/>
        <v>484.62496271910544</v>
      </c>
    </row>
    <row r="619" spans="18:26">
      <c r="R619">
        <f t="shared" si="40"/>
        <v>2015</v>
      </c>
      <c r="S619" s="10">
        <v>42286</v>
      </c>
      <c r="T619" s="2">
        <v>26.12</v>
      </c>
      <c r="U619" s="13">
        <v>42286</v>
      </c>
      <c r="V619" s="1">
        <v>44375.62</v>
      </c>
      <c r="X619" s="7">
        <f t="shared" si="37"/>
        <v>42286</v>
      </c>
      <c r="Y619" s="11">
        <f t="shared" si="38"/>
        <v>768.23529411764707</v>
      </c>
      <c r="Z619" s="11">
        <f t="shared" si="39"/>
        <v>503.2282134995944</v>
      </c>
    </row>
    <row r="620" spans="18:26">
      <c r="R620">
        <f t="shared" si="40"/>
        <v>2015</v>
      </c>
      <c r="S620" s="10">
        <v>42293</v>
      </c>
      <c r="T620" s="2">
        <v>25.67</v>
      </c>
      <c r="U620" s="13">
        <v>42293</v>
      </c>
      <c r="V620" s="1">
        <v>44364.160000000003</v>
      </c>
      <c r="X620" s="7">
        <f t="shared" si="37"/>
        <v>42293</v>
      </c>
      <c r="Y620" s="11">
        <f t="shared" si="38"/>
        <v>755</v>
      </c>
      <c r="Z620" s="11">
        <f t="shared" si="39"/>
        <v>503.098254857288</v>
      </c>
    </row>
    <row r="621" spans="18:26">
      <c r="R621">
        <f t="shared" si="40"/>
        <v>2015</v>
      </c>
      <c r="S621" s="10">
        <v>42300</v>
      </c>
      <c r="T621" s="2">
        <v>26.73</v>
      </c>
      <c r="U621" s="13">
        <v>42300</v>
      </c>
      <c r="V621" s="1">
        <v>45010.239999999998</v>
      </c>
      <c r="X621" s="7">
        <f t="shared" si="37"/>
        <v>42300</v>
      </c>
      <c r="Y621" s="11">
        <f t="shared" si="38"/>
        <v>786.17647058823525</v>
      </c>
      <c r="Z621" s="11">
        <f t="shared" si="39"/>
        <v>510.4249284717144</v>
      </c>
    </row>
    <row r="622" spans="18:26">
      <c r="R622">
        <f t="shared" si="40"/>
        <v>2015</v>
      </c>
      <c r="S622" s="10">
        <v>42307</v>
      </c>
      <c r="T622" s="2">
        <v>26.5</v>
      </c>
      <c r="U622" s="13">
        <v>42307</v>
      </c>
      <c r="V622" s="1">
        <v>44542.76</v>
      </c>
      <c r="X622" s="7">
        <f t="shared" si="37"/>
        <v>42307</v>
      </c>
      <c r="Y622" s="11">
        <f t="shared" si="38"/>
        <v>779.41176470588232</v>
      </c>
      <c r="Z622" s="11">
        <f t="shared" si="39"/>
        <v>505.12361380283113</v>
      </c>
    </row>
    <row r="623" spans="18:26">
      <c r="R623">
        <f t="shared" si="40"/>
        <v>2015</v>
      </c>
      <c r="S623" s="10">
        <v>42314</v>
      </c>
      <c r="T623" s="2">
        <v>27.19</v>
      </c>
      <c r="U623" s="13">
        <v>42314</v>
      </c>
      <c r="V623" s="1">
        <v>45243.85</v>
      </c>
      <c r="X623" s="7">
        <f t="shared" si="37"/>
        <v>42314</v>
      </c>
      <c r="Y623" s="11">
        <f t="shared" si="38"/>
        <v>799.70588235294122</v>
      </c>
      <c r="Z623" s="11">
        <f t="shared" si="39"/>
        <v>513.07411158071966</v>
      </c>
    </row>
    <row r="624" spans="18:26">
      <c r="R624">
        <f t="shared" si="40"/>
        <v>2015</v>
      </c>
      <c r="S624" s="10">
        <v>42321</v>
      </c>
      <c r="T624" s="2">
        <v>27.27</v>
      </c>
      <c r="U624" s="13">
        <v>42321</v>
      </c>
      <c r="V624" s="1">
        <v>43617.73</v>
      </c>
      <c r="X624" s="7">
        <f t="shared" si="37"/>
        <v>42321</v>
      </c>
      <c r="Y624" s="11">
        <f t="shared" si="38"/>
        <v>802.05882352941171</v>
      </c>
      <c r="Z624" s="11">
        <f t="shared" si="39"/>
        <v>494.63359260800542</v>
      </c>
    </row>
    <row r="625" spans="18:26">
      <c r="R625">
        <f t="shared" si="40"/>
        <v>2015</v>
      </c>
      <c r="S625" s="10">
        <v>42328</v>
      </c>
      <c r="T625" s="2">
        <v>27.37</v>
      </c>
      <c r="U625" s="13">
        <v>42328</v>
      </c>
      <c r="V625" s="1">
        <v>44895.02</v>
      </c>
      <c r="X625" s="7">
        <f t="shared" si="37"/>
        <v>42328</v>
      </c>
      <c r="Y625" s="11">
        <f t="shared" si="38"/>
        <v>805</v>
      </c>
      <c r="Z625" s="11">
        <f t="shared" si="39"/>
        <v>509.11831112733864</v>
      </c>
    </row>
    <row r="626" spans="18:26">
      <c r="R626">
        <f t="shared" si="40"/>
        <v>2015</v>
      </c>
      <c r="S626" s="10">
        <v>42335</v>
      </c>
      <c r="T626" s="2">
        <v>27.02</v>
      </c>
      <c r="U626" s="13">
        <v>42335</v>
      </c>
      <c r="V626" s="1">
        <v>44247.98</v>
      </c>
      <c r="X626" s="7">
        <f t="shared" si="37"/>
        <v>42335</v>
      </c>
      <c r="Y626" s="11">
        <f t="shared" si="38"/>
        <v>794.70588235294122</v>
      </c>
      <c r="Z626" s="11">
        <f t="shared" si="39"/>
        <v>501.78075092507498</v>
      </c>
    </row>
    <row r="627" spans="18:26">
      <c r="R627">
        <f t="shared" si="40"/>
        <v>2015</v>
      </c>
      <c r="S627" s="10">
        <v>42342</v>
      </c>
      <c r="T627" s="2">
        <v>26.7</v>
      </c>
      <c r="U627" s="13">
        <v>42342</v>
      </c>
      <c r="V627" s="1">
        <v>42994.23</v>
      </c>
      <c r="X627" s="7">
        <f t="shared" si="37"/>
        <v>42342</v>
      </c>
      <c r="Y627" s="11">
        <f t="shared" si="38"/>
        <v>785.2941176470589</v>
      </c>
      <c r="Z627" s="11">
        <f t="shared" si="39"/>
        <v>487.56298061166603</v>
      </c>
    </row>
    <row r="628" spans="18:26">
      <c r="R628">
        <f t="shared" si="40"/>
        <v>2015</v>
      </c>
      <c r="S628" s="10">
        <v>42349</v>
      </c>
      <c r="T628" s="2">
        <v>26.17</v>
      </c>
      <c r="U628" s="13">
        <v>42349</v>
      </c>
      <c r="V628" s="1">
        <v>42000.63</v>
      </c>
      <c r="X628" s="7">
        <f t="shared" si="37"/>
        <v>42349</v>
      </c>
      <c r="Y628" s="11">
        <f t="shared" si="38"/>
        <v>769.70588235294133</v>
      </c>
      <c r="Z628" s="11">
        <f t="shared" si="39"/>
        <v>476.29536220017792</v>
      </c>
    </row>
    <row r="629" spans="18:26">
      <c r="R629">
        <f t="shared" si="40"/>
        <v>2015</v>
      </c>
      <c r="S629" s="10">
        <v>42356</v>
      </c>
      <c r="T629" s="2">
        <v>27.1</v>
      </c>
      <c r="U629" s="13">
        <v>42356</v>
      </c>
      <c r="V629" s="1">
        <v>42936.63</v>
      </c>
      <c r="X629" s="7">
        <f t="shared" si="37"/>
        <v>42356</v>
      </c>
      <c r="Y629" s="11">
        <f t="shared" si="38"/>
        <v>797.05882352941182</v>
      </c>
      <c r="Z629" s="11">
        <f t="shared" si="39"/>
        <v>486.90978534143477</v>
      </c>
    </row>
    <row r="630" spans="18:26">
      <c r="R630">
        <f t="shared" si="40"/>
        <v>2015</v>
      </c>
      <c r="S630" s="10">
        <v>42363</v>
      </c>
      <c r="T630" s="2">
        <v>26.71</v>
      </c>
      <c r="U630" s="13">
        <v>42363</v>
      </c>
      <c r="V630" s="1">
        <v>43528.27</v>
      </c>
      <c r="X630" s="7">
        <f t="shared" si="37"/>
        <v>42363</v>
      </c>
      <c r="Y630" s="11">
        <f t="shared" si="38"/>
        <v>785.58823529411768</v>
      </c>
      <c r="Z630" s="11">
        <f t="shared" si="39"/>
        <v>493.61909870392748</v>
      </c>
    </row>
    <row r="631" spans="18:26">
      <c r="R631">
        <f t="shared" si="40"/>
        <v>2016</v>
      </c>
      <c r="S631" s="10">
        <v>42370</v>
      </c>
      <c r="T631" s="2">
        <v>27.08</v>
      </c>
      <c r="U631" s="13">
        <v>42370</v>
      </c>
      <c r="V631" s="1">
        <v>42977.5</v>
      </c>
      <c r="X631" s="7">
        <f t="shared" si="37"/>
        <v>42370</v>
      </c>
      <c r="Y631" s="11">
        <f t="shared" si="38"/>
        <v>796.47058823529403</v>
      </c>
      <c r="Z631" s="11">
        <f t="shared" si="39"/>
        <v>487.37325913821167</v>
      </c>
    </row>
    <row r="632" spans="18:26">
      <c r="R632">
        <f t="shared" si="40"/>
        <v>2016</v>
      </c>
      <c r="S632" s="10">
        <v>42377</v>
      </c>
      <c r="T632" s="2">
        <v>25.93</v>
      </c>
      <c r="U632" s="13">
        <v>42377</v>
      </c>
      <c r="V632" s="1">
        <v>40265.370000000003</v>
      </c>
      <c r="X632" s="7">
        <f t="shared" si="37"/>
        <v>42377</v>
      </c>
      <c r="Y632" s="11">
        <f t="shared" si="38"/>
        <v>762.64705882352939</v>
      </c>
      <c r="Z632" s="11">
        <f t="shared" si="39"/>
        <v>456.6171742727235</v>
      </c>
    </row>
    <row r="633" spans="18:26">
      <c r="R633">
        <f t="shared" si="40"/>
        <v>2016</v>
      </c>
      <c r="S633" s="10">
        <v>42384</v>
      </c>
      <c r="T633" s="2">
        <v>26.34</v>
      </c>
      <c r="U633" s="13">
        <v>42384</v>
      </c>
      <c r="V633" s="1">
        <v>40847.699999999997</v>
      </c>
      <c r="X633" s="7">
        <f t="shared" si="37"/>
        <v>42384</v>
      </c>
      <c r="Y633" s="11">
        <f t="shared" si="38"/>
        <v>774.7058823529411</v>
      </c>
      <c r="Z633" s="11">
        <f t="shared" si="39"/>
        <v>463.22091041358675</v>
      </c>
    </row>
    <row r="634" spans="18:26">
      <c r="R634">
        <f t="shared" si="40"/>
        <v>2016</v>
      </c>
      <c r="S634" s="10">
        <v>42391</v>
      </c>
      <c r="T634" s="2">
        <v>27.86</v>
      </c>
      <c r="U634" s="13">
        <v>42391</v>
      </c>
      <c r="V634" s="1">
        <v>41621.31</v>
      </c>
      <c r="X634" s="7">
        <f t="shared" si="37"/>
        <v>42391</v>
      </c>
      <c r="Y634" s="11">
        <f t="shared" si="38"/>
        <v>819.41176470588232</v>
      </c>
      <c r="Z634" s="11">
        <f t="shared" si="39"/>
        <v>471.99379918100948</v>
      </c>
    </row>
    <row r="635" spans="18:26">
      <c r="R635">
        <f t="shared" si="40"/>
        <v>2016</v>
      </c>
      <c r="S635" s="10">
        <v>42398</v>
      </c>
      <c r="T635" s="2">
        <v>29.09</v>
      </c>
      <c r="U635" s="13">
        <v>42398</v>
      </c>
      <c r="V635" s="1">
        <v>43630.77</v>
      </c>
      <c r="X635" s="7">
        <f t="shared" si="37"/>
        <v>42398</v>
      </c>
      <c r="Y635" s="11">
        <f t="shared" si="38"/>
        <v>855.58823529411757</v>
      </c>
      <c r="Z635" s="11">
        <f t="shared" si="39"/>
        <v>494.78146875946032</v>
      </c>
    </row>
    <row r="636" spans="18:26">
      <c r="R636">
        <f t="shared" si="40"/>
        <v>2016</v>
      </c>
      <c r="S636" s="10">
        <v>42405</v>
      </c>
      <c r="T636" s="2">
        <v>28.22</v>
      </c>
      <c r="U636" s="13">
        <v>42405</v>
      </c>
      <c r="V636" s="1">
        <v>43229.67</v>
      </c>
      <c r="X636" s="7">
        <f t="shared" si="37"/>
        <v>42405</v>
      </c>
      <c r="Y636" s="11">
        <f t="shared" si="38"/>
        <v>829.99999999999989</v>
      </c>
      <c r="Z636" s="11">
        <f t="shared" si="39"/>
        <v>490.23291627873584</v>
      </c>
    </row>
    <row r="637" spans="18:26">
      <c r="R637">
        <f t="shared" si="40"/>
        <v>2016</v>
      </c>
      <c r="S637" s="10">
        <v>42412</v>
      </c>
      <c r="T637" s="2">
        <v>27.35</v>
      </c>
      <c r="U637" s="13">
        <v>42412</v>
      </c>
      <c r="V637" s="1">
        <v>42416.44</v>
      </c>
      <c r="X637" s="7">
        <f t="shared" si="37"/>
        <v>42412</v>
      </c>
      <c r="Y637" s="11">
        <f t="shared" si="38"/>
        <v>804.41176470588232</v>
      </c>
      <c r="Z637" s="11">
        <f t="shared" si="39"/>
        <v>481.01072895911591</v>
      </c>
    </row>
    <row r="638" spans="18:26">
      <c r="R638">
        <f t="shared" si="40"/>
        <v>2016</v>
      </c>
      <c r="S638" s="10">
        <v>42419</v>
      </c>
      <c r="T638" s="2">
        <v>27.19</v>
      </c>
      <c r="U638" s="13">
        <v>42419</v>
      </c>
      <c r="V638" s="1">
        <v>43375.31</v>
      </c>
      <c r="X638" s="7">
        <f t="shared" si="37"/>
        <v>42419</v>
      </c>
      <c r="Y638" s="11">
        <f t="shared" si="38"/>
        <v>799.7058823529411</v>
      </c>
      <c r="Z638" s="11">
        <f t="shared" si="39"/>
        <v>491.88450237520232</v>
      </c>
    </row>
    <row r="639" spans="18:26">
      <c r="R639">
        <f t="shared" si="40"/>
        <v>2016</v>
      </c>
      <c r="S639" s="10">
        <v>42426</v>
      </c>
      <c r="T639" s="2">
        <v>27.1</v>
      </c>
      <c r="U639" s="13">
        <v>42426</v>
      </c>
      <c r="V639" s="1">
        <v>43473.37</v>
      </c>
      <c r="X639" s="7">
        <f t="shared" si="37"/>
        <v>42426</v>
      </c>
      <c r="Y639" s="11">
        <f t="shared" si="38"/>
        <v>797.05882352941171</v>
      </c>
      <c r="Z639" s="11">
        <f t="shared" si="39"/>
        <v>492.99652196198832</v>
      </c>
    </row>
    <row r="640" spans="18:26">
      <c r="R640">
        <f t="shared" si="40"/>
        <v>2016</v>
      </c>
      <c r="S640" s="10">
        <v>42433</v>
      </c>
      <c r="T640" s="2">
        <v>26.81</v>
      </c>
      <c r="U640" s="13">
        <v>42433</v>
      </c>
      <c r="V640" s="1">
        <v>44849.02</v>
      </c>
      <c r="X640" s="7">
        <f t="shared" si="37"/>
        <v>42433</v>
      </c>
      <c r="Y640" s="11">
        <f t="shared" si="38"/>
        <v>788.52941176470574</v>
      </c>
      <c r="Z640" s="11">
        <f t="shared" si="39"/>
        <v>508.59666212680656</v>
      </c>
    </row>
    <row r="641" spans="18:26">
      <c r="R641">
        <f t="shared" si="40"/>
        <v>2016</v>
      </c>
      <c r="S641" s="10">
        <v>42440</v>
      </c>
      <c r="T641" s="2">
        <v>26.98</v>
      </c>
      <c r="U641" s="13">
        <v>42440</v>
      </c>
      <c r="V641" s="1">
        <v>44735.5</v>
      </c>
      <c r="X641" s="7">
        <f t="shared" si="37"/>
        <v>42440</v>
      </c>
      <c r="Y641" s="11">
        <f t="shared" si="38"/>
        <v>793.52941176470586</v>
      </c>
      <c r="Z641" s="11">
        <f t="shared" si="39"/>
        <v>507.30932311505933</v>
      </c>
    </row>
    <row r="642" spans="18:26">
      <c r="R642">
        <f t="shared" si="40"/>
        <v>2016</v>
      </c>
      <c r="S642" s="10">
        <v>42447</v>
      </c>
      <c r="T642" s="2">
        <v>27.54</v>
      </c>
      <c r="U642" s="13">
        <v>42447</v>
      </c>
      <c r="V642" s="1">
        <v>45482.39</v>
      </c>
      <c r="X642" s="7">
        <f t="shared" si="37"/>
        <v>42447</v>
      </c>
      <c r="Y642" s="11">
        <f t="shared" si="38"/>
        <v>810</v>
      </c>
      <c r="Z642" s="11">
        <f t="shared" si="39"/>
        <v>515.77920185434709</v>
      </c>
    </row>
    <row r="643" spans="18:26">
      <c r="R643">
        <f t="shared" si="40"/>
        <v>2016</v>
      </c>
      <c r="S643" s="10">
        <v>42454</v>
      </c>
      <c r="T643" s="2">
        <v>27.63</v>
      </c>
      <c r="U643" s="13">
        <v>42454</v>
      </c>
      <c r="V643" s="1">
        <v>45647.57</v>
      </c>
      <c r="X643" s="7">
        <f t="shared" si="37"/>
        <v>42454</v>
      </c>
      <c r="Y643" s="11">
        <f t="shared" si="38"/>
        <v>812.64705882352939</v>
      </c>
      <c r="Z643" s="11">
        <f t="shared" si="39"/>
        <v>517.65237537408302</v>
      </c>
    </row>
    <row r="644" spans="18:26">
      <c r="R644">
        <f t="shared" si="40"/>
        <v>2016</v>
      </c>
      <c r="S644" s="10">
        <v>42461</v>
      </c>
      <c r="T644" s="2">
        <v>28.01</v>
      </c>
      <c r="U644" s="13">
        <v>42461</v>
      </c>
      <c r="V644" s="1">
        <v>46062.92</v>
      </c>
      <c r="X644" s="7">
        <f t="shared" si="37"/>
        <v>42461</v>
      </c>
      <c r="Y644" s="11">
        <f t="shared" si="38"/>
        <v>823.82352941176464</v>
      </c>
      <c r="Z644" s="11">
        <f t="shared" si="39"/>
        <v>522.36252564301572</v>
      </c>
    </row>
    <row r="645" spans="18:26">
      <c r="R645">
        <f t="shared" si="40"/>
        <v>2016</v>
      </c>
      <c r="S645" s="10">
        <v>42468</v>
      </c>
      <c r="T645" s="2">
        <v>28.5</v>
      </c>
      <c r="U645" s="13">
        <v>42468</v>
      </c>
      <c r="V645" s="1">
        <v>44859.49</v>
      </c>
      <c r="X645" s="7">
        <f t="shared" ref="X645:X708" si="41">+S645</f>
        <v>42468</v>
      </c>
      <c r="Y645" s="11">
        <f t="shared" si="38"/>
        <v>838.23529411764696</v>
      </c>
      <c r="Z645" s="11">
        <f t="shared" si="39"/>
        <v>508.71539397540596</v>
      </c>
    </row>
    <row r="646" spans="18:26">
      <c r="R646">
        <f t="shared" si="40"/>
        <v>2016</v>
      </c>
      <c r="S646" s="10">
        <v>42475</v>
      </c>
      <c r="T646" s="2">
        <v>29.78</v>
      </c>
      <c r="U646" s="13">
        <v>42475</v>
      </c>
      <c r="V646" s="1">
        <v>45536.52</v>
      </c>
      <c r="X646" s="7">
        <f t="shared" si="41"/>
        <v>42475</v>
      </c>
      <c r="Y646" s="11">
        <f t="shared" ref="Y646:Y709" si="42">+Y645*(T646/T645)</f>
        <v>875.88235294117635</v>
      </c>
      <c r="Z646" s="11">
        <f t="shared" ref="Z646:Z709" si="43">+Z645*(V646/V645)</f>
        <v>516.39304664562508</v>
      </c>
    </row>
    <row r="647" spans="18:26">
      <c r="R647">
        <f t="shared" ref="R647:R710" si="44">+YEAR(S647)</f>
        <v>2016</v>
      </c>
      <c r="S647" s="10">
        <v>42482</v>
      </c>
      <c r="T647" s="2">
        <v>29.43</v>
      </c>
      <c r="U647" s="13">
        <v>42482</v>
      </c>
      <c r="V647" s="1">
        <v>45613.21</v>
      </c>
      <c r="X647" s="7">
        <f t="shared" si="41"/>
        <v>42482</v>
      </c>
      <c r="Y647" s="11">
        <f t="shared" si="42"/>
        <v>865.58823529411745</v>
      </c>
      <c r="Z647" s="11">
        <f t="shared" si="43"/>
        <v>517.26272625107697</v>
      </c>
    </row>
    <row r="648" spans="18:26">
      <c r="R648">
        <f t="shared" si="44"/>
        <v>2016</v>
      </c>
      <c r="S648" s="10">
        <v>42489</v>
      </c>
      <c r="T648" s="2">
        <v>27.57</v>
      </c>
      <c r="U648" s="13">
        <v>42489</v>
      </c>
      <c r="V648" s="1">
        <v>45784.77</v>
      </c>
      <c r="X648" s="7">
        <f t="shared" si="41"/>
        <v>42489</v>
      </c>
      <c r="Y648" s="11">
        <f t="shared" si="42"/>
        <v>810.88235294117624</v>
      </c>
      <c r="Z648" s="11">
        <f t="shared" si="43"/>
        <v>519.20825021914743</v>
      </c>
    </row>
    <row r="649" spans="18:26">
      <c r="R649">
        <f t="shared" si="44"/>
        <v>2016</v>
      </c>
      <c r="S649" s="10">
        <v>42496</v>
      </c>
      <c r="T649" s="2">
        <v>28.32</v>
      </c>
      <c r="U649" s="13">
        <v>42496</v>
      </c>
      <c r="V649" s="1">
        <v>45209.85</v>
      </c>
      <c r="X649" s="7">
        <f t="shared" si="41"/>
        <v>42496</v>
      </c>
      <c r="Y649" s="11">
        <f t="shared" si="42"/>
        <v>832.94117647058806</v>
      </c>
      <c r="Z649" s="11">
        <f t="shared" si="43"/>
        <v>512.6885449281524</v>
      </c>
    </row>
    <row r="650" spans="18:26">
      <c r="R650">
        <f t="shared" si="44"/>
        <v>2016</v>
      </c>
      <c r="S650" s="10">
        <v>42503</v>
      </c>
      <c r="T650" s="2">
        <v>27.76</v>
      </c>
      <c r="U650" s="13">
        <v>42503</v>
      </c>
      <c r="V650" s="1">
        <v>45402.47</v>
      </c>
      <c r="X650" s="7">
        <f t="shared" si="41"/>
        <v>42503</v>
      </c>
      <c r="Y650" s="11">
        <f t="shared" si="42"/>
        <v>816.47058823529392</v>
      </c>
      <c r="Z650" s="11">
        <f t="shared" si="43"/>
        <v>514.87289341690121</v>
      </c>
    </row>
    <row r="651" spans="18:26">
      <c r="R651">
        <f t="shared" si="44"/>
        <v>2016</v>
      </c>
      <c r="S651" s="10">
        <v>42510</v>
      </c>
      <c r="T651" s="2">
        <v>28.47</v>
      </c>
      <c r="U651" s="13">
        <v>42510</v>
      </c>
      <c r="V651" s="1">
        <v>45155.91</v>
      </c>
      <c r="X651" s="7">
        <f t="shared" si="41"/>
        <v>42510</v>
      </c>
      <c r="Y651" s="11">
        <f t="shared" si="42"/>
        <v>837.35294117647027</v>
      </c>
      <c r="Z651" s="11">
        <f t="shared" si="43"/>
        <v>512.0768547740505</v>
      </c>
    </row>
    <row r="652" spans="18:26">
      <c r="R652">
        <f t="shared" si="44"/>
        <v>2016</v>
      </c>
      <c r="S652" s="10">
        <v>42517</v>
      </c>
      <c r="T652" s="2">
        <v>29.76</v>
      </c>
      <c r="U652" s="13">
        <v>42517</v>
      </c>
      <c r="V652" s="1">
        <v>46124.15</v>
      </c>
      <c r="X652" s="7">
        <f t="shared" si="41"/>
        <v>42517</v>
      </c>
      <c r="Y652" s="11">
        <f t="shared" si="42"/>
        <v>875.29411764705856</v>
      </c>
      <c r="Z652" s="11">
        <f t="shared" si="43"/>
        <v>523.05688582350615</v>
      </c>
    </row>
    <row r="653" spans="18:26">
      <c r="R653">
        <f t="shared" si="44"/>
        <v>2016</v>
      </c>
      <c r="S653" s="10">
        <v>42524</v>
      </c>
      <c r="T653" s="2">
        <v>29.24</v>
      </c>
      <c r="U653" s="13">
        <v>42524</v>
      </c>
      <c r="V653" s="1">
        <v>45928.23</v>
      </c>
      <c r="X653" s="7">
        <f t="shared" si="41"/>
        <v>42524</v>
      </c>
      <c r="Y653" s="11">
        <f t="shared" si="42"/>
        <v>859.99999999999966</v>
      </c>
      <c r="Z653" s="11">
        <f t="shared" si="43"/>
        <v>520.83511468906704</v>
      </c>
    </row>
    <row r="654" spans="18:26">
      <c r="R654">
        <f t="shared" si="44"/>
        <v>2016</v>
      </c>
      <c r="S654" s="10">
        <v>42531</v>
      </c>
      <c r="T654" s="2">
        <v>28.27</v>
      </c>
      <c r="U654" s="13">
        <v>42531</v>
      </c>
      <c r="V654" s="1">
        <v>45177.5</v>
      </c>
      <c r="X654" s="7">
        <f t="shared" si="41"/>
        <v>42531</v>
      </c>
      <c r="Y654" s="11">
        <f t="shared" si="42"/>
        <v>831.4705882352938</v>
      </c>
      <c r="Z654" s="11">
        <f t="shared" si="43"/>
        <v>512.32168959843057</v>
      </c>
    </row>
    <row r="655" spans="18:26">
      <c r="R655">
        <f t="shared" si="44"/>
        <v>2016</v>
      </c>
      <c r="S655" s="10">
        <v>42538</v>
      </c>
      <c r="T655" s="2">
        <v>27.74</v>
      </c>
      <c r="U655" s="13">
        <v>42538</v>
      </c>
      <c r="V655" s="1">
        <v>45306.22</v>
      </c>
      <c r="X655" s="7">
        <f t="shared" si="41"/>
        <v>42538</v>
      </c>
      <c r="Y655" s="11">
        <f t="shared" si="42"/>
        <v>815.88235294117612</v>
      </c>
      <c r="Z655" s="11">
        <f t="shared" si="43"/>
        <v>513.78139958426664</v>
      </c>
    </row>
    <row r="656" spans="18:26">
      <c r="R656">
        <f t="shared" si="44"/>
        <v>2016</v>
      </c>
      <c r="S656" s="10">
        <v>42545</v>
      </c>
      <c r="T656" s="2">
        <v>28.47</v>
      </c>
      <c r="U656" s="13">
        <v>42545</v>
      </c>
      <c r="V656" s="1">
        <v>44885.82</v>
      </c>
      <c r="X656" s="7">
        <f t="shared" si="41"/>
        <v>42545</v>
      </c>
      <c r="Y656" s="11">
        <f t="shared" si="42"/>
        <v>837.35294117647027</v>
      </c>
      <c r="Z656" s="11">
        <f t="shared" si="43"/>
        <v>509.01398132723205</v>
      </c>
    </row>
    <row r="657" spans="18:26">
      <c r="R657">
        <f t="shared" si="44"/>
        <v>2016</v>
      </c>
      <c r="S657" s="10">
        <v>42552</v>
      </c>
      <c r="T657" s="2">
        <v>29.51</v>
      </c>
      <c r="U657" s="13">
        <v>42552</v>
      </c>
      <c r="V657" s="1">
        <v>46213.27</v>
      </c>
      <c r="X657" s="7">
        <f t="shared" si="41"/>
        <v>42552</v>
      </c>
      <c r="Y657" s="11">
        <f t="shared" si="42"/>
        <v>867.94117647058795</v>
      </c>
      <c r="Z657" s="11">
        <f t="shared" si="43"/>
        <v>524.06752406105829</v>
      </c>
    </row>
    <row r="658" spans="18:26">
      <c r="R658">
        <f t="shared" si="44"/>
        <v>2016</v>
      </c>
      <c r="S658" s="10">
        <v>42559</v>
      </c>
      <c r="T658" s="2">
        <v>29.75</v>
      </c>
      <c r="U658" s="13">
        <v>42559</v>
      </c>
      <c r="V658" s="1">
        <v>45744.29</v>
      </c>
      <c r="X658" s="7">
        <f t="shared" si="41"/>
        <v>42559</v>
      </c>
      <c r="Y658" s="11">
        <f t="shared" si="42"/>
        <v>874.99999999999966</v>
      </c>
      <c r="Z658" s="11">
        <f t="shared" si="43"/>
        <v>518.74919909867947</v>
      </c>
    </row>
    <row r="659" spans="18:26">
      <c r="R659">
        <f t="shared" si="44"/>
        <v>2016</v>
      </c>
      <c r="S659" s="10">
        <v>42566</v>
      </c>
      <c r="T659" s="2">
        <v>29.84</v>
      </c>
      <c r="U659" s="13">
        <v>42566</v>
      </c>
      <c r="V659" s="1">
        <v>46713.43</v>
      </c>
      <c r="X659" s="7">
        <f t="shared" si="41"/>
        <v>42566</v>
      </c>
      <c r="Y659" s="11">
        <f t="shared" si="42"/>
        <v>877.64705882352905</v>
      </c>
      <c r="Z659" s="11">
        <f t="shared" si="43"/>
        <v>529.73943632423254</v>
      </c>
    </row>
    <row r="660" spans="18:26">
      <c r="R660">
        <f t="shared" si="44"/>
        <v>2016</v>
      </c>
      <c r="S660" s="10">
        <v>42573</v>
      </c>
      <c r="T660" s="2">
        <v>29.71</v>
      </c>
      <c r="U660" s="13">
        <v>42573</v>
      </c>
      <c r="V660" s="1">
        <v>47537.279999999999</v>
      </c>
      <c r="X660" s="7">
        <f t="shared" si="41"/>
        <v>42573</v>
      </c>
      <c r="Y660" s="11">
        <f t="shared" si="42"/>
        <v>873.82352941176441</v>
      </c>
      <c r="Z660" s="11">
        <f t="shared" si="43"/>
        <v>539.08205652180141</v>
      </c>
    </row>
    <row r="661" spans="18:26">
      <c r="R661">
        <f t="shared" si="44"/>
        <v>2016</v>
      </c>
      <c r="S661" s="10">
        <v>42580</v>
      </c>
      <c r="T661" s="2">
        <v>28.97</v>
      </c>
      <c r="U661" s="13">
        <v>42580</v>
      </c>
      <c r="V661" s="1">
        <v>46660.67</v>
      </c>
      <c r="X661" s="7">
        <f t="shared" si="41"/>
        <v>42580</v>
      </c>
      <c r="Y661" s="11">
        <f t="shared" si="42"/>
        <v>852.05882352941148</v>
      </c>
      <c r="Z661" s="11">
        <f t="shared" si="43"/>
        <v>529.14112760101386</v>
      </c>
    </row>
    <row r="662" spans="18:26">
      <c r="R662">
        <f t="shared" si="44"/>
        <v>2016</v>
      </c>
      <c r="S662" s="10">
        <v>42587</v>
      </c>
      <c r="T662" s="2">
        <v>29.92</v>
      </c>
      <c r="U662" s="13">
        <v>42587</v>
      </c>
      <c r="V662" s="1">
        <v>47194.15</v>
      </c>
      <c r="X662" s="7">
        <f t="shared" si="41"/>
        <v>42587</v>
      </c>
      <c r="Y662" s="11">
        <f t="shared" si="42"/>
        <v>879.99999999999977</v>
      </c>
      <c r="Z662" s="11">
        <f t="shared" si="43"/>
        <v>535.19089518370367</v>
      </c>
    </row>
    <row r="663" spans="18:26">
      <c r="R663">
        <f t="shared" si="44"/>
        <v>2016</v>
      </c>
      <c r="S663" s="10">
        <v>42594</v>
      </c>
      <c r="T663" s="2">
        <v>31.01</v>
      </c>
      <c r="U663" s="13">
        <v>42594</v>
      </c>
      <c r="V663" s="1">
        <v>48363.89</v>
      </c>
      <c r="X663" s="7">
        <f t="shared" si="41"/>
        <v>42594</v>
      </c>
      <c r="Y663" s="11">
        <f t="shared" si="42"/>
        <v>912.05882352941148</v>
      </c>
      <c r="Z663" s="11">
        <f t="shared" si="43"/>
        <v>548.45597565940216</v>
      </c>
    </row>
    <row r="664" spans="18:26">
      <c r="R664">
        <f t="shared" si="44"/>
        <v>2016</v>
      </c>
      <c r="S664" s="10">
        <v>42601</v>
      </c>
      <c r="T664" s="2">
        <v>30.23</v>
      </c>
      <c r="U664" s="13">
        <v>42601</v>
      </c>
      <c r="V664" s="1">
        <v>48297.46</v>
      </c>
      <c r="X664" s="7">
        <f t="shared" si="41"/>
        <v>42601</v>
      </c>
      <c r="Y664" s="11">
        <f t="shared" si="42"/>
        <v>889.11764705882331</v>
      </c>
      <c r="Z664" s="11">
        <f t="shared" si="43"/>
        <v>547.70264646146018</v>
      </c>
    </row>
    <row r="665" spans="18:26">
      <c r="R665">
        <f t="shared" si="44"/>
        <v>2016</v>
      </c>
      <c r="S665" s="10">
        <v>42608</v>
      </c>
      <c r="T665" s="2">
        <v>31.54</v>
      </c>
      <c r="U665" s="13">
        <v>42608</v>
      </c>
      <c r="V665" s="1">
        <v>47369.57</v>
      </c>
      <c r="X665" s="7">
        <f t="shared" si="41"/>
        <v>42608</v>
      </c>
      <c r="Y665" s="11">
        <f t="shared" si="42"/>
        <v>927.64705882352916</v>
      </c>
      <c r="Z665" s="11">
        <f t="shared" si="43"/>
        <v>537.18019230703624</v>
      </c>
    </row>
    <row r="666" spans="18:26">
      <c r="R666">
        <f t="shared" si="44"/>
        <v>2016</v>
      </c>
      <c r="S666" s="10">
        <v>42615</v>
      </c>
      <c r="T666" s="2">
        <v>31.41</v>
      </c>
      <c r="U666" s="13">
        <v>42615</v>
      </c>
      <c r="V666" s="1">
        <v>47787.99</v>
      </c>
      <c r="X666" s="7">
        <f t="shared" si="41"/>
        <v>42615</v>
      </c>
      <c r="Y666" s="11">
        <f t="shared" si="42"/>
        <v>923.82352941176453</v>
      </c>
      <c r="Z666" s="11">
        <f t="shared" si="43"/>
        <v>541.92515697665658</v>
      </c>
    </row>
    <row r="667" spans="18:26">
      <c r="R667">
        <f t="shared" si="44"/>
        <v>2016</v>
      </c>
      <c r="S667" s="10">
        <v>42622</v>
      </c>
      <c r="T667" s="2">
        <v>30.83</v>
      </c>
      <c r="U667" s="13">
        <v>42622</v>
      </c>
      <c r="V667" s="1">
        <v>46459.17</v>
      </c>
      <c r="X667" s="7">
        <f t="shared" si="41"/>
        <v>42622</v>
      </c>
      <c r="Y667" s="11">
        <f t="shared" si="42"/>
        <v>906.7647058823527</v>
      </c>
      <c r="Z667" s="11">
        <f t="shared" si="43"/>
        <v>526.85607817477103</v>
      </c>
    </row>
    <row r="668" spans="18:26">
      <c r="R668">
        <f t="shared" si="44"/>
        <v>2016</v>
      </c>
      <c r="S668" s="10">
        <v>42629</v>
      </c>
      <c r="T668" s="2">
        <v>29.66</v>
      </c>
      <c r="U668" s="13">
        <v>42629</v>
      </c>
      <c r="V668" s="1">
        <v>45922.91</v>
      </c>
      <c r="X668" s="7">
        <f t="shared" si="41"/>
        <v>42629</v>
      </c>
      <c r="Y668" s="11">
        <f t="shared" si="42"/>
        <v>872.35294117647038</v>
      </c>
      <c r="Z668" s="11">
        <f t="shared" si="43"/>
        <v>520.77478484813605</v>
      </c>
    </row>
    <row r="669" spans="18:26">
      <c r="R669">
        <f t="shared" si="44"/>
        <v>2016</v>
      </c>
      <c r="S669" s="10">
        <v>42636</v>
      </c>
      <c r="T669" s="2">
        <v>30.49</v>
      </c>
      <c r="U669" s="13">
        <v>42636</v>
      </c>
      <c r="V669" s="1">
        <v>47778.48</v>
      </c>
      <c r="X669" s="7">
        <f t="shared" si="41"/>
        <v>42636</v>
      </c>
      <c r="Y669" s="11">
        <f t="shared" si="42"/>
        <v>896.7647058823527</v>
      </c>
      <c r="Z669" s="11">
        <f t="shared" si="43"/>
        <v>541.81731171589445</v>
      </c>
    </row>
    <row r="670" spans="18:26">
      <c r="R670">
        <f t="shared" si="44"/>
        <v>2016</v>
      </c>
      <c r="S670" s="10">
        <v>42643</v>
      </c>
      <c r="T670" s="2">
        <v>29.96</v>
      </c>
      <c r="U670" s="13">
        <v>42643</v>
      </c>
      <c r="V670" s="1">
        <v>47245.8</v>
      </c>
      <c r="X670" s="7">
        <f t="shared" si="41"/>
        <v>42643</v>
      </c>
      <c r="Y670" s="11">
        <f t="shared" si="42"/>
        <v>881.17647058823513</v>
      </c>
      <c r="Z670" s="11">
        <f t="shared" si="43"/>
        <v>535.77661628973556</v>
      </c>
    </row>
    <row r="671" spans="18:26">
      <c r="R671">
        <f t="shared" si="44"/>
        <v>2016</v>
      </c>
      <c r="S671" s="10">
        <v>42650</v>
      </c>
      <c r="T671" s="2">
        <v>30.11</v>
      </c>
      <c r="U671" s="13">
        <v>42650</v>
      </c>
      <c r="V671" s="1">
        <v>47596.6</v>
      </c>
      <c r="X671" s="7">
        <f t="shared" si="41"/>
        <v>42650</v>
      </c>
      <c r="Y671" s="11">
        <f t="shared" si="42"/>
        <v>885.58823529411745</v>
      </c>
      <c r="Z671" s="11">
        <f t="shared" si="43"/>
        <v>539.75475692857412</v>
      </c>
    </row>
    <row r="672" spans="18:26">
      <c r="R672">
        <f t="shared" si="44"/>
        <v>2016</v>
      </c>
      <c r="S672" s="10">
        <v>42657</v>
      </c>
      <c r="T672" s="2">
        <v>28.91</v>
      </c>
      <c r="U672" s="13">
        <v>42657</v>
      </c>
      <c r="V672" s="1">
        <v>47701.45</v>
      </c>
      <c r="X672" s="7">
        <f t="shared" si="41"/>
        <v>42657</v>
      </c>
      <c r="Y672" s="11">
        <f t="shared" si="42"/>
        <v>850.29411764705867</v>
      </c>
      <c r="Z672" s="11">
        <f t="shared" si="43"/>
        <v>540.94377644391682</v>
      </c>
    </row>
    <row r="673" spans="18:26">
      <c r="R673">
        <f t="shared" si="44"/>
        <v>2016</v>
      </c>
      <c r="S673" s="10">
        <v>42664</v>
      </c>
      <c r="T673" s="2">
        <v>29.02</v>
      </c>
      <c r="U673" s="13">
        <v>42664</v>
      </c>
      <c r="V673" s="1">
        <v>48418.400000000001</v>
      </c>
      <c r="X673" s="7">
        <f t="shared" si="41"/>
        <v>42664</v>
      </c>
      <c r="Y673" s="11">
        <f t="shared" si="42"/>
        <v>853.52941176470574</v>
      </c>
      <c r="Z673" s="11">
        <f t="shared" si="43"/>
        <v>549.07412972503232</v>
      </c>
    </row>
    <row r="674" spans="18:26">
      <c r="R674">
        <f t="shared" si="44"/>
        <v>2016</v>
      </c>
      <c r="S674" s="10">
        <v>42671</v>
      </c>
      <c r="T674" s="2">
        <v>28.21</v>
      </c>
      <c r="U674" s="13">
        <v>42671</v>
      </c>
      <c r="V674" s="1">
        <v>48007.199999999997</v>
      </c>
      <c r="X674" s="7">
        <f t="shared" si="41"/>
        <v>42671</v>
      </c>
      <c r="Y674" s="11">
        <f t="shared" si="42"/>
        <v>829.7058823529411</v>
      </c>
      <c r="Z674" s="11">
        <f t="shared" si="43"/>
        <v>544.41104126810399</v>
      </c>
    </row>
    <row r="675" spans="18:26">
      <c r="R675">
        <f t="shared" si="44"/>
        <v>2016</v>
      </c>
      <c r="S675" s="10">
        <v>42678</v>
      </c>
      <c r="T675" s="2">
        <v>29.01</v>
      </c>
      <c r="U675" s="13">
        <v>42678</v>
      </c>
      <c r="V675" s="1">
        <v>46694.81</v>
      </c>
      <c r="X675" s="7">
        <f t="shared" si="41"/>
        <v>42678</v>
      </c>
      <c r="Y675" s="11">
        <f t="shared" si="42"/>
        <v>853.23529411764696</v>
      </c>
      <c r="Z675" s="11">
        <f t="shared" si="43"/>
        <v>529.52828188097362</v>
      </c>
    </row>
    <row r="676" spans="18:26">
      <c r="R676">
        <f t="shared" si="44"/>
        <v>2016</v>
      </c>
      <c r="S676" s="10">
        <v>42685</v>
      </c>
      <c r="T676" s="2">
        <v>25.86</v>
      </c>
      <c r="U676" s="13">
        <v>42685</v>
      </c>
      <c r="V676" s="1">
        <v>44978.25</v>
      </c>
      <c r="X676" s="7">
        <f t="shared" si="41"/>
        <v>42685</v>
      </c>
      <c r="Y676" s="11">
        <f t="shared" si="42"/>
        <v>760.58823529411757</v>
      </c>
      <c r="Z676" s="11">
        <f t="shared" si="43"/>
        <v>510.06215561243107</v>
      </c>
    </row>
    <row r="677" spans="18:26">
      <c r="R677">
        <f t="shared" si="44"/>
        <v>2016</v>
      </c>
      <c r="S677" s="10">
        <v>42692</v>
      </c>
      <c r="T677" s="2">
        <v>25.1</v>
      </c>
      <c r="U677" s="13">
        <v>42692</v>
      </c>
      <c r="V677" s="1">
        <v>44364.17</v>
      </c>
      <c r="X677" s="7">
        <f t="shared" si="41"/>
        <v>42692</v>
      </c>
      <c r="Y677" s="11">
        <f t="shared" si="42"/>
        <v>738.23529411764707</v>
      </c>
      <c r="Z677" s="11">
        <f t="shared" si="43"/>
        <v>503.09836825924407</v>
      </c>
    </row>
    <row r="678" spans="18:26">
      <c r="R678">
        <f t="shared" si="44"/>
        <v>2016</v>
      </c>
      <c r="S678" s="10">
        <v>42699</v>
      </c>
      <c r="T678" s="2">
        <v>24.39</v>
      </c>
      <c r="U678" s="13">
        <v>42699</v>
      </c>
      <c r="V678" s="1">
        <v>45357.85</v>
      </c>
      <c r="X678" s="7">
        <f t="shared" si="41"/>
        <v>42699</v>
      </c>
      <c r="Y678" s="11">
        <f t="shared" si="42"/>
        <v>717.35294117647061</v>
      </c>
      <c r="Z678" s="11">
        <f t="shared" si="43"/>
        <v>514.36689388638524</v>
      </c>
    </row>
    <row r="679" spans="18:26">
      <c r="R679">
        <f t="shared" si="44"/>
        <v>2016</v>
      </c>
      <c r="S679" s="10">
        <v>42706</v>
      </c>
      <c r="T679" s="2">
        <v>23.42</v>
      </c>
      <c r="U679" s="13">
        <v>42706</v>
      </c>
      <c r="V679" s="1">
        <v>44555.26</v>
      </c>
      <c r="X679" s="7">
        <f t="shared" si="41"/>
        <v>42706</v>
      </c>
      <c r="Y679" s="11">
        <f t="shared" si="42"/>
        <v>688.82352941176475</v>
      </c>
      <c r="Z679" s="11">
        <f t="shared" si="43"/>
        <v>505.26536624862746</v>
      </c>
    </row>
    <row r="680" spans="18:26">
      <c r="R680">
        <f t="shared" si="44"/>
        <v>2016</v>
      </c>
      <c r="S680" s="10">
        <v>42713</v>
      </c>
      <c r="T680" s="2">
        <v>25.62</v>
      </c>
      <c r="U680" s="13">
        <v>42713</v>
      </c>
      <c r="V680" s="1">
        <v>46913.47</v>
      </c>
      <c r="X680" s="7">
        <f t="shared" si="41"/>
        <v>42713</v>
      </c>
      <c r="Y680" s="11">
        <f t="shared" si="42"/>
        <v>753.52941176470597</v>
      </c>
      <c r="Z680" s="11">
        <f t="shared" si="43"/>
        <v>532.00792906480626</v>
      </c>
    </row>
    <row r="681" spans="18:26">
      <c r="R681">
        <f t="shared" si="44"/>
        <v>2016</v>
      </c>
      <c r="S681" s="10">
        <v>42720</v>
      </c>
      <c r="T681" s="2">
        <v>25.87</v>
      </c>
      <c r="U681" s="13">
        <v>42720</v>
      </c>
      <c r="V681" s="1">
        <v>45121.39</v>
      </c>
      <c r="X681" s="7">
        <f t="shared" si="41"/>
        <v>42720</v>
      </c>
      <c r="Y681" s="11">
        <f t="shared" si="42"/>
        <v>760.88235294117646</v>
      </c>
      <c r="Z681" s="11">
        <f t="shared" si="43"/>
        <v>511.68539121973834</v>
      </c>
    </row>
    <row r="682" spans="18:26">
      <c r="R682">
        <f t="shared" si="44"/>
        <v>2016</v>
      </c>
      <c r="S682" s="10">
        <v>42727</v>
      </c>
      <c r="T682" s="2">
        <v>25.38</v>
      </c>
      <c r="U682" s="13">
        <v>42727</v>
      </c>
      <c r="V682" s="1">
        <v>45173.54</v>
      </c>
      <c r="X682" s="7">
        <f t="shared" si="41"/>
        <v>42727</v>
      </c>
      <c r="Y682" s="11">
        <f t="shared" si="42"/>
        <v>746.47058823529403</v>
      </c>
      <c r="Z682" s="11">
        <f t="shared" si="43"/>
        <v>512.27678242360219</v>
      </c>
    </row>
    <row r="683" spans="18:26">
      <c r="R683">
        <f t="shared" si="44"/>
        <v>2016</v>
      </c>
      <c r="S683" s="10">
        <v>42734</v>
      </c>
      <c r="T683" s="2">
        <v>26.01</v>
      </c>
      <c r="U683" s="13">
        <v>42734</v>
      </c>
      <c r="V683" s="1">
        <v>45642.9</v>
      </c>
      <c r="X683" s="7">
        <f t="shared" si="41"/>
        <v>42734</v>
      </c>
      <c r="Y683" s="11">
        <f t="shared" si="42"/>
        <v>765</v>
      </c>
      <c r="Z683" s="11">
        <f t="shared" si="43"/>
        <v>517.5994166603333</v>
      </c>
    </row>
    <row r="684" spans="18:26">
      <c r="R684">
        <f t="shared" si="44"/>
        <v>2017</v>
      </c>
      <c r="S684" s="10">
        <v>42741</v>
      </c>
      <c r="T684" s="2">
        <v>24.55</v>
      </c>
      <c r="U684" s="13">
        <v>42741</v>
      </c>
      <c r="V684" s="1">
        <v>46071.57</v>
      </c>
      <c r="X684" s="7">
        <f t="shared" si="41"/>
        <v>42741</v>
      </c>
      <c r="Y684" s="11">
        <f t="shared" si="42"/>
        <v>722.05882352941171</v>
      </c>
      <c r="Z684" s="11">
        <f t="shared" si="43"/>
        <v>522.46061833550698</v>
      </c>
    </row>
    <row r="685" spans="18:26">
      <c r="R685">
        <f t="shared" si="44"/>
        <v>2017</v>
      </c>
      <c r="S685" s="10">
        <v>42748</v>
      </c>
      <c r="T685" s="2">
        <v>23.95</v>
      </c>
      <c r="U685" s="13">
        <v>42748</v>
      </c>
      <c r="V685" s="1">
        <v>46182.43</v>
      </c>
      <c r="X685" s="7">
        <f t="shared" si="41"/>
        <v>42748</v>
      </c>
      <c r="Y685" s="11">
        <f t="shared" si="42"/>
        <v>704.41176470588221</v>
      </c>
      <c r="Z685" s="11">
        <f t="shared" si="43"/>
        <v>523.71779242678872</v>
      </c>
    </row>
    <row r="686" spans="18:26">
      <c r="R686">
        <f t="shared" si="44"/>
        <v>2017</v>
      </c>
      <c r="S686" s="10">
        <v>42755</v>
      </c>
      <c r="T686" s="2">
        <v>23.95</v>
      </c>
      <c r="U686" s="13">
        <v>42755</v>
      </c>
      <c r="V686" s="1">
        <v>46331.6</v>
      </c>
      <c r="X686" s="7">
        <f t="shared" si="41"/>
        <v>42755</v>
      </c>
      <c r="Y686" s="11">
        <f t="shared" si="42"/>
        <v>704.41176470588221</v>
      </c>
      <c r="Z686" s="11">
        <f t="shared" si="43"/>
        <v>525.4094094139482</v>
      </c>
    </row>
    <row r="687" spans="18:26">
      <c r="R687">
        <f t="shared" si="44"/>
        <v>2017</v>
      </c>
      <c r="S687" s="10">
        <v>42762</v>
      </c>
      <c r="T687" s="2">
        <v>25.88</v>
      </c>
      <c r="U687" s="13">
        <v>42762</v>
      </c>
      <c r="V687" s="1">
        <v>47421.120000000003</v>
      </c>
      <c r="X687" s="7">
        <f t="shared" si="41"/>
        <v>42762</v>
      </c>
      <c r="Y687" s="11">
        <f t="shared" si="42"/>
        <v>761.17647058823513</v>
      </c>
      <c r="Z687" s="11">
        <f t="shared" si="43"/>
        <v>537.76477939350184</v>
      </c>
    </row>
    <row r="688" spans="18:26">
      <c r="R688">
        <f t="shared" si="44"/>
        <v>2017</v>
      </c>
      <c r="S688" s="10">
        <v>42769</v>
      </c>
      <c r="T688" s="2">
        <v>26.47</v>
      </c>
      <c r="U688" s="13">
        <v>42769</v>
      </c>
      <c r="V688" s="1">
        <v>47225.1</v>
      </c>
      <c r="X688" s="7">
        <f t="shared" si="41"/>
        <v>42769</v>
      </c>
      <c r="Y688" s="11">
        <f t="shared" si="42"/>
        <v>778.52941176470574</v>
      </c>
      <c r="Z688" s="11">
        <f t="shared" si="43"/>
        <v>535.54187423949622</v>
      </c>
    </row>
    <row r="689" spans="18:26">
      <c r="R689">
        <f t="shared" si="44"/>
        <v>2017</v>
      </c>
      <c r="S689" s="10">
        <v>42776</v>
      </c>
      <c r="T689" s="2">
        <v>25.72</v>
      </c>
      <c r="U689" s="13">
        <v>42776</v>
      </c>
      <c r="V689" s="1">
        <v>47797.04</v>
      </c>
      <c r="X689" s="7">
        <f t="shared" si="41"/>
        <v>42776</v>
      </c>
      <c r="Y689" s="11">
        <f t="shared" si="42"/>
        <v>756.47058823529403</v>
      </c>
      <c r="Z689" s="11">
        <f t="shared" si="43"/>
        <v>542.0277857474133</v>
      </c>
    </row>
    <row r="690" spans="18:26">
      <c r="R690">
        <f t="shared" si="44"/>
        <v>2017</v>
      </c>
      <c r="S690" s="10">
        <v>42783</v>
      </c>
      <c r="T690" s="2">
        <v>24.75</v>
      </c>
      <c r="U690" s="13">
        <v>42783</v>
      </c>
      <c r="V690" s="1">
        <v>47164.71</v>
      </c>
      <c r="X690" s="7">
        <f t="shared" si="41"/>
        <v>42783</v>
      </c>
      <c r="Y690" s="11">
        <f t="shared" si="42"/>
        <v>727.94117647058818</v>
      </c>
      <c r="Z690" s="11">
        <f t="shared" si="43"/>
        <v>534.85703982336315</v>
      </c>
    </row>
    <row r="691" spans="18:26">
      <c r="R691">
        <f t="shared" si="44"/>
        <v>2017</v>
      </c>
      <c r="S691" s="10">
        <v>42790</v>
      </c>
      <c r="T691" s="2">
        <v>26.04</v>
      </c>
      <c r="U691" s="13">
        <v>42790</v>
      </c>
      <c r="V691" s="1">
        <v>47047.67</v>
      </c>
      <c r="X691" s="7">
        <f t="shared" si="41"/>
        <v>42790</v>
      </c>
      <c r="Y691" s="11">
        <f t="shared" si="42"/>
        <v>765.88235294117635</v>
      </c>
      <c r="Z691" s="11">
        <f t="shared" si="43"/>
        <v>533.52978332287944</v>
      </c>
    </row>
    <row r="692" spans="18:26">
      <c r="R692">
        <f t="shared" si="44"/>
        <v>2017</v>
      </c>
      <c r="S692" s="10">
        <v>42797</v>
      </c>
      <c r="T692" s="2">
        <v>26.61</v>
      </c>
      <c r="U692" s="13">
        <v>42797</v>
      </c>
      <c r="V692" s="1">
        <v>47414.57</v>
      </c>
      <c r="X692" s="7">
        <f t="shared" si="41"/>
        <v>42797</v>
      </c>
      <c r="Y692" s="11">
        <f t="shared" si="42"/>
        <v>782.64705882352928</v>
      </c>
      <c r="Z692" s="11">
        <f t="shared" si="43"/>
        <v>537.69050111190415</v>
      </c>
    </row>
    <row r="693" spans="18:26">
      <c r="R693">
        <f t="shared" si="44"/>
        <v>2017</v>
      </c>
      <c r="S693" s="10">
        <v>42804</v>
      </c>
      <c r="T693" s="2">
        <v>26.74</v>
      </c>
      <c r="U693" s="13">
        <v>42804</v>
      </c>
      <c r="V693" s="1">
        <v>47102.31</v>
      </c>
      <c r="X693" s="7">
        <f t="shared" si="41"/>
        <v>42804</v>
      </c>
      <c r="Y693" s="11">
        <f t="shared" si="42"/>
        <v>786.47058823529392</v>
      </c>
      <c r="Z693" s="11">
        <f t="shared" si="43"/>
        <v>534.14941161394597</v>
      </c>
    </row>
    <row r="694" spans="18:26">
      <c r="R694">
        <f t="shared" si="44"/>
        <v>2017</v>
      </c>
      <c r="S694" s="10">
        <v>42811</v>
      </c>
      <c r="T694" s="2">
        <v>27.41</v>
      </c>
      <c r="U694" s="13">
        <v>42811</v>
      </c>
      <c r="V694" s="1">
        <v>48593.440000000002</v>
      </c>
      <c r="X694" s="7">
        <f t="shared" si="41"/>
        <v>42811</v>
      </c>
      <c r="Y694" s="11">
        <f t="shared" si="42"/>
        <v>806.17647058823513</v>
      </c>
      <c r="Z694" s="11">
        <f t="shared" si="43"/>
        <v>551.05911757401259</v>
      </c>
    </row>
    <row r="695" spans="18:26">
      <c r="R695">
        <f t="shared" si="44"/>
        <v>2017</v>
      </c>
      <c r="S695" s="10">
        <v>42818</v>
      </c>
      <c r="T695" s="2">
        <v>28.44</v>
      </c>
      <c r="U695" s="13">
        <v>42818</v>
      </c>
      <c r="V695" s="1">
        <v>49083.85</v>
      </c>
      <c r="X695" s="7">
        <f t="shared" si="41"/>
        <v>42818</v>
      </c>
      <c r="Y695" s="11">
        <f t="shared" si="42"/>
        <v>836.47058823529403</v>
      </c>
      <c r="Z695" s="11">
        <f t="shared" si="43"/>
        <v>556.62046292946525</v>
      </c>
    </row>
    <row r="696" spans="18:26">
      <c r="R696">
        <f t="shared" si="44"/>
        <v>2017</v>
      </c>
      <c r="S696" s="10">
        <v>42825</v>
      </c>
      <c r="T696" s="2">
        <v>28.3</v>
      </c>
      <c r="U696" s="13">
        <v>42825</v>
      </c>
      <c r="V696" s="1">
        <v>48541.56</v>
      </c>
      <c r="X696" s="7">
        <f t="shared" si="41"/>
        <v>42825</v>
      </c>
      <c r="Y696" s="11">
        <f t="shared" si="42"/>
        <v>832.35294117647049</v>
      </c>
      <c r="Z696" s="11">
        <f t="shared" si="43"/>
        <v>550.47078822297783</v>
      </c>
    </row>
    <row r="697" spans="18:26">
      <c r="R697">
        <f t="shared" si="44"/>
        <v>2017</v>
      </c>
      <c r="S697" s="10">
        <v>42832</v>
      </c>
      <c r="T697" s="2">
        <v>28.01</v>
      </c>
      <c r="U697" s="13">
        <v>42832</v>
      </c>
      <c r="V697" s="1">
        <v>49343.64</v>
      </c>
      <c r="X697" s="7">
        <f t="shared" si="41"/>
        <v>42832</v>
      </c>
      <c r="Y697" s="11">
        <f t="shared" si="42"/>
        <v>823.82352941176464</v>
      </c>
      <c r="Z697" s="11">
        <f t="shared" si="43"/>
        <v>559.56653236094712</v>
      </c>
    </row>
    <row r="698" spans="18:26">
      <c r="R698">
        <f t="shared" si="44"/>
        <v>2017</v>
      </c>
      <c r="S698" s="10">
        <v>42839</v>
      </c>
      <c r="T698" s="2">
        <v>27.14</v>
      </c>
      <c r="U698" s="13">
        <v>42839</v>
      </c>
      <c r="V698" s="1">
        <v>48955.82</v>
      </c>
      <c r="X698" s="7">
        <f t="shared" si="41"/>
        <v>42839</v>
      </c>
      <c r="Y698" s="11">
        <f t="shared" si="42"/>
        <v>798.23529411764696</v>
      </c>
      <c r="Z698" s="11">
        <f t="shared" si="43"/>
        <v>555.16857767863712</v>
      </c>
    </row>
    <row r="699" spans="18:26">
      <c r="R699">
        <f t="shared" si="44"/>
        <v>2017</v>
      </c>
      <c r="S699" s="10">
        <v>42846</v>
      </c>
      <c r="T699" s="2">
        <v>27.53</v>
      </c>
      <c r="U699" s="13">
        <v>42846</v>
      </c>
      <c r="V699" s="1">
        <v>48967.83</v>
      </c>
      <c r="X699" s="7">
        <f t="shared" si="41"/>
        <v>42846</v>
      </c>
      <c r="Y699" s="11">
        <f t="shared" si="42"/>
        <v>809.7058823529411</v>
      </c>
      <c r="Z699" s="11">
        <f t="shared" si="43"/>
        <v>555.30477342855852</v>
      </c>
    </row>
    <row r="700" spans="18:26">
      <c r="R700">
        <f t="shared" si="44"/>
        <v>2017</v>
      </c>
      <c r="S700" s="10">
        <v>42853</v>
      </c>
      <c r="T700" s="2">
        <v>28.26</v>
      </c>
      <c r="U700" s="13">
        <v>42853</v>
      </c>
      <c r="V700" s="1">
        <v>49261.33</v>
      </c>
      <c r="X700" s="7">
        <f t="shared" si="41"/>
        <v>42853</v>
      </c>
      <c r="Y700" s="11">
        <f t="shared" si="42"/>
        <v>831.17647058823525</v>
      </c>
      <c r="Z700" s="11">
        <f t="shared" si="43"/>
        <v>558.63312085586506</v>
      </c>
    </row>
    <row r="701" spans="18:26">
      <c r="R701">
        <f t="shared" si="44"/>
        <v>2017</v>
      </c>
      <c r="S701" s="10">
        <v>42860</v>
      </c>
      <c r="T701" s="2">
        <v>28.24</v>
      </c>
      <c r="U701" s="13">
        <v>42860</v>
      </c>
      <c r="V701" s="1">
        <v>49485.67</v>
      </c>
      <c r="X701" s="7">
        <f t="shared" si="41"/>
        <v>42860</v>
      </c>
      <c r="Y701" s="11">
        <f t="shared" si="42"/>
        <v>830.58823529411757</v>
      </c>
      <c r="Z701" s="11">
        <f t="shared" si="43"/>
        <v>561.17718035106759</v>
      </c>
    </row>
    <row r="702" spans="18:26">
      <c r="R702">
        <f t="shared" si="44"/>
        <v>2017</v>
      </c>
      <c r="S702" s="10">
        <v>42867</v>
      </c>
      <c r="T702" s="2">
        <v>28.32</v>
      </c>
      <c r="U702" s="13">
        <v>42867</v>
      </c>
      <c r="V702" s="1">
        <v>49426.080000000002</v>
      </c>
      <c r="X702" s="7">
        <f t="shared" si="41"/>
        <v>42867</v>
      </c>
      <c r="Y702" s="11">
        <f t="shared" si="42"/>
        <v>832.94117647058829</v>
      </c>
      <c r="Z702" s="11">
        <f t="shared" si="43"/>
        <v>560.50141809146567</v>
      </c>
    </row>
    <row r="703" spans="18:26">
      <c r="R703">
        <f t="shared" si="44"/>
        <v>2017</v>
      </c>
      <c r="S703" s="10">
        <v>42874</v>
      </c>
      <c r="T703" s="2">
        <v>28.02</v>
      </c>
      <c r="U703" s="13">
        <v>42874</v>
      </c>
      <c r="V703" s="1">
        <v>49067.47</v>
      </c>
      <c r="X703" s="7">
        <f t="shared" si="41"/>
        <v>42874</v>
      </c>
      <c r="Y703" s="11">
        <f t="shared" si="42"/>
        <v>824.11764705882365</v>
      </c>
      <c r="Z703" s="11">
        <f t="shared" si="43"/>
        <v>556.43471052449331</v>
      </c>
    </row>
    <row r="704" spans="18:26">
      <c r="R704">
        <f t="shared" si="44"/>
        <v>2017</v>
      </c>
      <c r="S704" s="10">
        <v>42881</v>
      </c>
      <c r="T704" s="2">
        <v>27.09</v>
      </c>
      <c r="U704" s="13">
        <v>42881</v>
      </c>
      <c r="V704" s="1">
        <v>49674.92</v>
      </c>
      <c r="X704" s="7">
        <f t="shared" si="41"/>
        <v>42881</v>
      </c>
      <c r="Y704" s="11">
        <f t="shared" si="42"/>
        <v>796.76470588235304</v>
      </c>
      <c r="Z704" s="11">
        <f t="shared" si="43"/>
        <v>563.32331238042957</v>
      </c>
    </row>
    <row r="705" spans="18:26">
      <c r="R705">
        <f t="shared" si="44"/>
        <v>2017</v>
      </c>
      <c r="S705" s="10">
        <v>42888</v>
      </c>
      <c r="T705" s="2">
        <v>26.89</v>
      </c>
      <c r="U705" s="13">
        <v>42888</v>
      </c>
      <c r="V705" s="1">
        <v>49317.38</v>
      </c>
      <c r="X705" s="7">
        <f t="shared" si="41"/>
        <v>42888</v>
      </c>
      <c r="Y705" s="11">
        <f t="shared" si="42"/>
        <v>790.88235294117658</v>
      </c>
      <c r="Z705" s="11">
        <f t="shared" si="43"/>
        <v>559.26873882281734</v>
      </c>
    </row>
    <row r="706" spans="18:26">
      <c r="R706">
        <f t="shared" si="44"/>
        <v>2017</v>
      </c>
      <c r="S706" s="10">
        <v>42895</v>
      </c>
      <c r="T706" s="2">
        <v>27.06</v>
      </c>
      <c r="U706" s="13">
        <v>42895</v>
      </c>
      <c r="V706" s="1">
        <v>49081.73</v>
      </c>
      <c r="X706" s="7">
        <f t="shared" si="41"/>
        <v>42895</v>
      </c>
      <c r="Y706" s="11">
        <f t="shared" si="42"/>
        <v>795.88235294117658</v>
      </c>
      <c r="Z706" s="11">
        <f t="shared" si="43"/>
        <v>556.59642171465805</v>
      </c>
    </row>
    <row r="707" spans="18:26">
      <c r="R707">
        <f t="shared" si="44"/>
        <v>2017</v>
      </c>
      <c r="S707" s="10">
        <v>42902</v>
      </c>
      <c r="T707" s="2">
        <v>27.79</v>
      </c>
      <c r="U707" s="13">
        <v>42902</v>
      </c>
      <c r="V707" s="1">
        <v>49221.03</v>
      </c>
      <c r="X707" s="7">
        <f t="shared" si="41"/>
        <v>42902</v>
      </c>
      <c r="Y707" s="11">
        <f t="shared" si="42"/>
        <v>817.35294117647084</v>
      </c>
      <c r="Z707" s="11">
        <f t="shared" si="43"/>
        <v>558.17611097061638</v>
      </c>
    </row>
    <row r="708" spans="18:26">
      <c r="R708">
        <f t="shared" si="44"/>
        <v>2017</v>
      </c>
      <c r="S708" s="10">
        <v>42909</v>
      </c>
      <c r="T708" s="2">
        <v>27.33</v>
      </c>
      <c r="U708" s="13">
        <v>42909</v>
      </c>
      <c r="V708" s="1">
        <v>48980.78</v>
      </c>
      <c r="X708" s="7">
        <f t="shared" si="41"/>
        <v>42909</v>
      </c>
      <c r="Y708" s="11">
        <f t="shared" si="42"/>
        <v>803.82352941176487</v>
      </c>
      <c r="Z708" s="11">
        <f t="shared" si="43"/>
        <v>555.45162896240379</v>
      </c>
    </row>
    <row r="709" spans="18:26">
      <c r="R709">
        <f t="shared" si="44"/>
        <v>2017</v>
      </c>
      <c r="S709" s="10">
        <v>42916</v>
      </c>
      <c r="T709" s="2">
        <v>27.01</v>
      </c>
      <c r="U709" s="13">
        <v>42916</v>
      </c>
      <c r="V709" s="1">
        <v>49857.49</v>
      </c>
      <c r="X709" s="7">
        <f t="shared" ref="X709:X772" si="45">+S709</f>
        <v>42916</v>
      </c>
      <c r="Y709" s="11">
        <f t="shared" si="42"/>
        <v>794.41176470588266</v>
      </c>
      <c r="Z709" s="11">
        <f t="shared" si="43"/>
        <v>565.39369190275772</v>
      </c>
    </row>
    <row r="710" spans="18:26">
      <c r="R710">
        <f t="shared" si="44"/>
        <v>2017</v>
      </c>
      <c r="S710" s="10">
        <v>42923</v>
      </c>
      <c r="T710" s="2">
        <v>26.26</v>
      </c>
      <c r="U710" s="13">
        <v>42923</v>
      </c>
      <c r="V710" s="1">
        <v>50059.02</v>
      </c>
      <c r="X710" s="7">
        <f t="shared" si="45"/>
        <v>42923</v>
      </c>
      <c r="Y710" s="11">
        <f t="shared" ref="Y710:Y773" si="46">+Y709*(T710/T709)</f>
        <v>772.35294117647084</v>
      </c>
      <c r="Z710" s="11">
        <f t="shared" ref="Z710:Z773" si="47">+Z709*(V710/V709)</f>
        <v>567.67908153487042</v>
      </c>
    </row>
    <row r="711" spans="18:26">
      <c r="R711">
        <f t="shared" ref="R711:R774" si="48">+YEAR(S711)</f>
        <v>2017</v>
      </c>
      <c r="S711" s="10">
        <v>42930</v>
      </c>
      <c r="T711" s="2">
        <v>26.34</v>
      </c>
      <c r="U711" s="13">
        <v>42930</v>
      </c>
      <c r="V711" s="1">
        <v>51162.23</v>
      </c>
      <c r="X711" s="7">
        <f t="shared" si="45"/>
        <v>42930</v>
      </c>
      <c r="Y711" s="11">
        <f t="shared" si="46"/>
        <v>774.70588235294133</v>
      </c>
      <c r="Z711" s="11">
        <f t="shared" si="47"/>
        <v>580.18969879306053</v>
      </c>
    </row>
    <row r="712" spans="18:26">
      <c r="R712">
        <f t="shared" si="48"/>
        <v>2017</v>
      </c>
      <c r="S712" s="10">
        <v>42937</v>
      </c>
      <c r="T712" s="2">
        <v>25.82</v>
      </c>
      <c r="U712" s="13">
        <v>42937</v>
      </c>
      <c r="V712" s="1">
        <v>51564.62</v>
      </c>
      <c r="X712" s="7">
        <f t="shared" si="45"/>
        <v>42937</v>
      </c>
      <c r="Y712" s="11">
        <f t="shared" si="46"/>
        <v>759.41176470588255</v>
      </c>
      <c r="Z712" s="11">
        <f t="shared" si="47"/>
        <v>584.75288012619126</v>
      </c>
    </row>
    <row r="713" spans="18:26">
      <c r="R713">
        <f t="shared" si="48"/>
        <v>2017</v>
      </c>
      <c r="S713" s="10">
        <v>42944</v>
      </c>
      <c r="T713" s="2">
        <v>25.58</v>
      </c>
      <c r="U713" s="13">
        <v>42944</v>
      </c>
      <c r="V713" s="1">
        <v>51213.599999999999</v>
      </c>
      <c r="X713" s="7">
        <f t="shared" si="45"/>
        <v>42944</v>
      </c>
      <c r="Y713" s="11">
        <f t="shared" si="46"/>
        <v>752.35294117647072</v>
      </c>
      <c r="Z713" s="11">
        <f t="shared" si="47"/>
        <v>580.77224464430662</v>
      </c>
    </row>
    <row r="714" spans="18:26">
      <c r="R714">
        <f t="shared" si="48"/>
        <v>2017</v>
      </c>
      <c r="S714" s="10">
        <v>42951</v>
      </c>
      <c r="T714" s="2">
        <v>24.64</v>
      </c>
      <c r="U714" s="13">
        <v>42951</v>
      </c>
      <c r="V714" s="1">
        <v>51328.29</v>
      </c>
      <c r="X714" s="7">
        <f t="shared" si="45"/>
        <v>42951</v>
      </c>
      <c r="Y714" s="11">
        <f t="shared" si="46"/>
        <v>724.70588235294144</v>
      </c>
      <c r="Z714" s="11">
        <f t="shared" si="47"/>
        <v>582.07285168498049</v>
      </c>
    </row>
    <row r="715" spans="18:26">
      <c r="R715">
        <f t="shared" si="48"/>
        <v>2017</v>
      </c>
      <c r="S715" s="10">
        <v>42958</v>
      </c>
      <c r="T715" s="2">
        <v>25.64</v>
      </c>
      <c r="U715" s="13">
        <v>42958</v>
      </c>
      <c r="V715" s="1">
        <v>50645.1</v>
      </c>
      <c r="X715" s="7">
        <f t="shared" si="45"/>
        <v>42958</v>
      </c>
      <c r="Y715" s="11">
        <f t="shared" si="46"/>
        <v>754.11764705882376</v>
      </c>
      <c r="Z715" s="11">
        <f t="shared" si="47"/>
        <v>574.32534340947268</v>
      </c>
    </row>
    <row r="716" spans="18:26">
      <c r="R716">
        <f t="shared" si="48"/>
        <v>2017</v>
      </c>
      <c r="S716" s="10">
        <v>42965</v>
      </c>
      <c r="T716" s="2">
        <v>26.15</v>
      </c>
      <c r="U716" s="13">
        <v>42965</v>
      </c>
      <c r="V716" s="1">
        <v>51075.46</v>
      </c>
      <c r="X716" s="7">
        <f t="shared" si="45"/>
        <v>42965</v>
      </c>
      <c r="Y716" s="11">
        <f t="shared" si="46"/>
        <v>769.11764705882376</v>
      </c>
      <c r="Z716" s="11">
        <f t="shared" si="47"/>
        <v>579.20571001531812</v>
      </c>
    </row>
    <row r="717" spans="18:26">
      <c r="R717">
        <f t="shared" si="48"/>
        <v>2017</v>
      </c>
      <c r="S717" s="10">
        <v>42972</v>
      </c>
      <c r="T717" s="2">
        <v>25.8</v>
      </c>
      <c r="U717" s="13">
        <v>42972</v>
      </c>
      <c r="V717" s="1">
        <v>51373.23</v>
      </c>
      <c r="X717" s="7">
        <f t="shared" si="45"/>
        <v>42972</v>
      </c>
      <c r="Y717" s="11">
        <f t="shared" si="46"/>
        <v>758.82352941176498</v>
      </c>
      <c r="Z717" s="11">
        <f t="shared" si="47"/>
        <v>582.5824800781088</v>
      </c>
    </row>
    <row r="718" spans="18:26">
      <c r="R718">
        <f t="shared" si="48"/>
        <v>2017</v>
      </c>
      <c r="S718" s="10">
        <v>42979</v>
      </c>
      <c r="T718" s="2">
        <v>24.62</v>
      </c>
      <c r="U718" s="13">
        <v>42979</v>
      </c>
      <c r="V718" s="1">
        <v>51080.85</v>
      </c>
      <c r="X718" s="7">
        <f t="shared" si="45"/>
        <v>42979</v>
      </c>
      <c r="Y718" s="11">
        <f t="shared" si="46"/>
        <v>724.11764705882376</v>
      </c>
      <c r="Z718" s="11">
        <f t="shared" si="47"/>
        <v>579.26683366994564</v>
      </c>
    </row>
    <row r="719" spans="18:26">
      <c r="R719">
        <f t="shared" si="48"/>
        <v>2017</v>
      </c>
      <c r="S719" s="10">
        <v>42986</v>
      </c>
      <c r="T719" s="2">
        <v>25.23</v>
      </c>
      <c r="U719" s="13">
        <v>42986</v>
      </c>
      <c r="V719" s="1">
        <v>50083.8</v>
      </c>
      <c r="X719" s="7">
        <f t="shared" si="45"/>
        <v>42986</v>
      </c>
      <c r="Y719" s="11">
        <f t="shared" si="46"/>
        <v>742.05882352941205</v>
      </c>
      <c r="Z719" s="11">
        <f t="shared" si="47"/>
        <v>567.96009158341781</v>
      </c>
    </row>
    <row r="720" spans="18:26">
      <c r="R720">
        <f t="shared" si="48"/>
        <v>2017</v>
      </c>
      <c r="S720" s="10">
        <v>42993</v>
      </c>
      <c r="T720" s="2">
        <v>24.98</v>
      </c>
      <c r="U720" s="13">
        <v>42993</v>
      </c>
      <c r="V720" s="1">
        <v>49921.84</v>
      </c>
      <c r="X720" s="7">
        <f t="shared" si="45"/>
        <v>42993</v>
      </c>
      <c r="Y720" s="11">
        <f t="shared" si="46"/>
        <v>734.70588235294144</v>
      </c>
      <c r="Z720" s="11">
        <f t="shared" si="47"/>
        <v>566.12343349371906</v>
      </c>
    </row>
    <row r="721" spans="18:26">
      <c r="R721">
        <f t="shared" si="48"/>
        <v>2017</v>
      </c>
      <c r="S721" s="10">
        <v>43000</v>
      </c>
      <c r="T721" s="2">
        <v>25.94</v>
      </c>
      <c r="U721" s="13">
        <v>43000</v>
      </c>
      <c r="V721" s="1">
        <v>50313.51</v>
      </c>
      <c r="X721" s="7">
        <f t="shared" si="45"/>
        <v>43000</v>
      </c>
      <c r="Y721" s="11">
        <f t="shared" si="46"/>
        <v>762.94117647058863</v>
      </c>
      <c r="Z721" s="11">
        <f t="shared" si="47"/>
        <v>570.56504792933458</v>
      </c>
    </row>
    <row r="722" spans="18:26">
      <c r="R722">
        <f t="shared" si="48"/>
        <v>2017</v>
      </c>
      <c r="S722" s="10">
        <v>43007</v>
      </c>
      <c r="T722" s="2">
        <v>26.33</v>
      </c>
      <c r="U722" s="13">
        <v>43007</v>
      </c>
      <c r="V722" s="1">
        <v>50346.06</v>
      </c>
      <c r="X722" s="7">
        <f t="shared" si="45"/>
        <v>43007</v>
      </c>
      <c r="Y722" s="11">
        <f t="shared" si="46"/>
        <v>774.41176470588266</v>
      </c>
      <c r="Z722" s="11">
        <f t="shared" si="47"/>
        <v>570.9341712981892</v>
      </c>
    </row>
    <row r="723" spans="18:26">
      <c r="R723">
        <f t="shared" si="48"/>
        <v>2017</v>
      </c>
      <c r="S723" s="10">
        <v>43014</v>
      </c>
      <c r="T723" s="2">
        <v>25.19</v>
      </c>
      <c r="U723" s="13">
        <v>43014</v>
      </c>
      <c r="V723" s="1">
        <v>50302.96</v>
      </c>
      <c r="X723" s="7">
        <f t="shared" si="45"/>
        <v>43014</v>
      </c>
      <c r="Y723" s="11">
        <f t="shared" si="46"/>
        <v>740.88235294117692</v>
      </c>
      <c r="Z723" s="11">
        <f t="shared" si="47"/>
        <v>570.44540886508219</v>
      </c>
    </row>
    <row r="724" spans="18:26">
      <c r="R724">
        <f t="shared" si="48"/>
        <v>2017</v>
      </c>
      <c r="S724" s="10">
        <v>43021</v>
      </c>
      <c r="T724" s="2">
        <v>23.81</v>
      </c>
      <c r="U724" s="13">
        <v>43021</v>
      </c>
      <c r="V724" s="1">
        <v>49981.94</v>
      </c>
      <c r="X724" s="7">
        <f t="shared" si="45"/>
        <v>43021</v>
      </c>
      <c r="Y724" s="11">
        <f t="shared" si="46"/>
        <v>700.29411764705912</v>
      </c>
      <c r="Z724" s="11">
        <f t="shared" si="47"/>
        <v>566.80497925310976</v>
      </c>
    </row>
    <row r="725" spans="18:26">
      <c r="R725">
        <f t="shared" si="48"/>
        <v>2017</v>
      </c>
      <c r="S725" s="10">
        <v>43028</v>
      </c>
      <c r="T725" s="2">
        <v>24.02</v>
      </c>
      <c r="U725" s="13">
        <v>43028</v>
      </c>
      <c r="V725" s="1">
        <v>49988.71</v>
      </c>
      <c r="X725" s="7">
        <f t="shared" si="45"/>
        <v>43028</v>
      </c>
      <c r="Y725" s="11">
        <f t="shared" si="46"/>
        <v>706.47058823529449</v>
      </c>
      <c r="Z725" s="11">
        <f t="shared" si="47"/>
        <v>566.88175237775329</v>
      </c>
    </row>
    <row r="726" spans="18:26">
      <c r="R726">
        <f t="shared" si="48"/>
        <v>2017</v>
      </c>
      <c r="S726" s="10">
        <v>43035</v>
      </c>
      <c r="T726" s="2">
        <v>23.67</v>
      </c>
      <c r="U726" s="13">
        <v>43035</v>
      </c>
      <c r="V726" s="1">
        <v>49209.58</v>
      </c>
      <c r="X726" s="7">
        <f t="shared" si="45"/>
        <v>43035</v>
      </c>
      <c r="Y726" s="11">
        <f t="shared" si="46"/>
        <v>696.1764705882357</v>
      </c>
      <c r="Z726" s="11">
        <f t="shared" si="47"/>
        <v>558.04626573026667</v>
      </c>
    </row>
    <row r="727" spans="18:26">
      <c r="R727">
        <f t="shared" si="48"/>
        <v>2017</v>
      </c>
      <c r="S727" s="10">
        <v>43042</v>
      </c>
      <c r="T727" s="2">
        <v>23.47</v>
      </c>
      <c r="U727" s="13">
        <v>43042</v>
      </c>
      <c r="V727" s="1">
        <v>48534.84</v>
      </c>
      <c r="X727" s="7">
        <f t="shared" si="45"/>
        <v>43042</v>
      </c>
      <c r="Y727" s="11">
        <f t="shared" si="46"/>
        <v>690.29411764705912</v>
      </c>
      <c r="Z727" s="11">
        <f t="shared" si="47"/>
        <v>550.39458210811745</v>
      </c>
    </row>
    <row r="728" spans="18:26">
      <c r="R728">
        <f t="shared" si="48"/>
        <v>2017</v>
      </c>
      <c r="S728" s="10">
        <v>43049</v>
      </c>
      <c r="T728" s="2">
        <v>23.94</v>
      </c>
      <c r="U728" s="13">
        <v>43049</v>
      </c>
      <c r="V728" s="1">
        <v>48028.3</v>
      </c>
      <c r="X728" s="7">
        <f t="shared" si="45"/>
        <v>43049</v>
      </c>
      <c r="Y728" s="11">
        <f t="shared" si="46"/>
        <v>704.11764705882388</v>
      </c>
      <c r="Z728" s="11">
        <f t="shared" si="47"/>
        <v>544.65031939660867</v>
      </c>
    </row>
    <row r="729" spans="18:26">
      <c r="R729">
        <f t="shared" si="48"/>
        <v>2017</v>
      </c>
      <c r="S729" s="10">
        <v>43056</v>
      </c>
      <c r="T729" s="2">
        <v>23.65</v>
      </c>
      <c r="U729" s="13">
        <v>43056</v>
      </c>
      <c r="V729" s="1">
        <v>47857.14</v>
      </c>
      <c r="X729" s="7">
        <f t="shared" si="45"/>
        <v>43056</v>
      </c>
      <c r="Y729" s="11">
        <f t="shared" si="46"/>
        <v>695.58823529411791</v>
      </c>
      <c r="Z729" s="11">
        <f t="shared" si="47"/>
        <v>542.70933150680355</v>
      </c>
    </row>
    <row r="730" spans="18:26">
      <c r="R730">
        <f t="shared" si="48"/>
        <v>2017</v>
      </c>
      <c r="S730" s="10">
        <v>43063</v>
      </c>
      <c r="T730" s="2">
        <v>23.8</v>
      </c>
      <c r="U730" s="13">
        <v>43063</v>
      </c>
      <c r="V730" s="1">
        <v>47941.88</v>
      </c>
      <c r="X730" s="7">
        <f t="shared" si="45"/>
        <v>43063</v>
      </c>
      <c r="Y730" s="11">
        <f t="shared" si="46"/>
        <v>700.00000000000034</v>
      </c>
      <c r="Z730" s="11">
        <f t="shared" si="47"/>
        <v>543.67029968734857</v>
      </c>
    </row>
    <row r="731" spans="18:26">
      <c r="R731">
        <f t="shared" si="48"/>
        <v>2017</v>
      </c>
      <c r="S731" s="10">
        <v>43070</v>
      </c>
      <c r="T731" s="2">
        <v>23.84</v>
      </c>
      <c r="U731" s="13">
        <v>43070</v>
      </c>
      <c r="V731" s="1">
        <v>47265.3</v>
      </c>
      <c r="X731" s="7">
        <f t="shared" si="45"/>
        <v>43070</v>
      </c>
      <c r="Y731" s="11">
        <f t="shared" si="46"/>
        <v>701.17647058823559</v>
      </c>
      <c r="Z731" s="11">
        <f t="shared" si="47"/>
        <v>535.99775010517817</v>
      </c>
    </row>
    <row r="732" spans="18:26">
      <c r="R732">
        <f t="shared" si="48"/>
        <v>2017</v>
      </c>
      <c r="S732" s="10">
        <v>43077</v>
      </c>
      <c r="T732" s="2">
        <v>24.57</v>
      </c>
      <c r="U732" s="13">
        <v>43077</v>
      </c>
      <c r="V732" s="1">
        <v>47572.86</v>
      </c>
      <c r="X732" s="7">
        <f t="shared" si="45"/>
        <v>43077</v>
      </c>
      <c r="Y732" s="11">
        <f t="shared" si="46"/>
        <v>722.64705882352973</v>
      </c>
      <c r="Z732" s="11">
        <f t="shared" si="47"/>
        <v>539.48554068351677</v>
      </c>
    </row>
    <row r="733" spans="18:26">
      <c r="R733">
        <f t="shared" si="48"/>
        <v>2017</v>
      </c>
      <c r="S733" s="10">
        <v>43084</v>
      </c>
      <c r="T733" s="2">
        <v>24.46</v>
      </c>
      <c r="U733" s="13">
        <v>43084</v>
      </c>
      <c r="V733" s="1">
        <v>48081.55</v>
      </c>
      <c r="X733" s="7">
        <f t="shared" si="45"/>
        <v>43084</v>
      </c>
      <c r="Y733" s="11">
        <f t="shared" si="46"/>
        <v>719.41176470588266</v>
      </c>
      <c r="Z733" s="11">
        <f t="shared" si="47"/>
        <v>545.25418481570262</v>
      </c>
    </row>
    <row r="734" spans="18:26">
      <c r="R734">
        <f t="shared" si="48"/>
        <v>2017</v>
      </c>
      <c r="S734" s="10">
        <v>43091</v>
      </c>
      <c r="T734" s="2">
        <v>24.19</v>
      </c>
      <c r="U734" s="13">
        <v>43091</v>
      </c>
      <c r="V734" s="1">
        <v>48387.93</v>
      </c>
      <c r="X734" s="7">
        <f t="shared" si="45"/>
        <v>43091</v>
      </c>
      <c r="Y734" s="11">
        <f t="shared" si="46"/>
        <v>711.47058823529437</v>
      </c>
      <c r="Z734" s="11">
        <f t="shared" si="47"/>
        <v>548.728593963158</v>
      </c>
    </row>
    <row r="735" spans="18:26">
      <c r="R735">
        <f t="shared" si="48"/>
        <v>2017</v>
      </c>
      <c r="S735" s="10">
        <v>43098</v>
      </c>
      <c r="T735" s="2">
        <v>25.18</v>
      </c>
      <c r="U735" s="13">
        <v>43098</v>
      </c>
      <c r="V735" s="1">
        <v>49354.42</v>
      </c>
      <c r="X735" s="7">
        <f t="shared" si="45"/>
        <v>43098</v>
      </c>
      <c r="Y735" s="11">
        <f t="shared" si="46"/>
        <v>740.58823529411791</v>
      </c>
      <c r="Z735" s="11">
        <f t="shared" si="47"/>
        <v>559.68877967020205</v>
      </c>
    </row>
    <row r="736" spans="18:26">
      <c r="R736">
        <f t="shared" si="48"/>
        <v>2018</v>
      </c>
      <c r="S736" s="10">
        <v>43105</v>
      </c>
      <c r="T736" s="2">
        <v>24.97</v>
      </c>
      <c r="U736" s="13">
        <v>43105</v>
      </c>
      <c r="V736" s="1">
        <v>49887.75</v>
      </c>
      <c r="X736" s="7">
        <f t="shared" si="45"/>
        <v>43105</v>
      </c>
      <c r="Y736" s="11">
        <f t="shared" si="46"/>
        <v>734.41176470588266</v>
      </c>
      <c r="Z736" s="11">
        <f t="shared" si="47"/>
        <v>565.73684622354233</v>
      </c>
    </row>
    <row r="737" spans="18:26">
      <c r="R737">
        <f t="shared" si="48"/>
        <v>2018</v>
      </c>
      <c r="S737" s="10">
        <v>43112</v>
      </c>
      <c r="T737" s="2">
        <v>24.87</v>
      </c>
      <c r="U737" s="13">
        <v>43112</v>
      </c>
      <c r="V737" s="1">
        <v>49135.91</v>
      </c>
      <c r="X737" s="7">
        <f t="shared" si="45"/>
        <v>43112</v>
      </c>
      <c r="Y737" s="11">
        <f t="shared" si="46"/>
        <v>731.47058823529449</v>
      </c>
      <c r="Z737" s="11">
        <f t="shared" si="47"/>
        <v>557.21083351571917</v>
      </c>
    </row>
    <row r="738" spans="18:26">
      <c r="R738">
        <f t="shared" si="48"/>
        <v>2018</v>
      </c>
      <c r="S738" s="10">
        <v>43119</v>
      </c>
      <c r="T738" s="2">
        <v>25.36</v>
      </c>
      <c r="U738" s="13">
        <v>43119</v>
      </c>
      <c r="V738" s="1">
        <v>49695.56</v>
      </c>
      <c r="X738" s="7">
        <f t="shared" si="45"/>
        <v>43119</v>
      </c>
      <c r="Y738" s="11">
        <f t="shared" si="46"/>
        <v>745.8823529411768</v>
      </c>
      <c r="Z738" s="11">
        <f t="shared" si="47"/>
        <v>563.55737401892895</v>
      </c>
    </row>
    <row r="739" spans="18:26">
      <c r="R739">
        <f t="shared" si="48"/>
        <v>2018</v>
      </c>
      <c r="S739" s="10">
        <v>43126</v>
      </c>
      <c r="T739" s="2">
        <v>25.69</v>
      </c>
      <c r="U739" s="13">
        <v>43126</v>
      </c>
      <c r="V739" s="1">
        <v>51065.49</v>
      </c>
      <c r="X739" s="7">
        <f t="shared" si="45"/>
        <v>43126</v>
      </c>
      <c r="Y739" s="11">
        <f t="shared" si="46"/>
        <v>755.58823529411802</v>
      </c>
      <c r="Z739" s="11">
        <f t="shared" si="47"/>
        <v>579.09264826455069</v>
      </c>
    </row>
    <row r="740" spans="18:26">
      <c r="R740">
        <f t="shared" si="48"/>
        <v>2018</v>
      </c>
      <c r="S740" s="10">
        <v>43133</v>
      </c>
      <c r="T740" s="2">
        <v>25.78</v>
      </c>
      <c r="U740" s="13">
        <v>43133</v>
      </c>
      <c r="V740" s="1">
        <v>50395.839999999997</v>
      </c>
      <c r="X740" s="7">
        <f t="shared" si="45"/>
        <v>43133</v>
      </c>
      <c r="Y740" s="11">
        <f t="shared" si="46"/>
        <v>758.23529411764741</v>
      </c>
      <c r="Z740" s="11">
        <f t="shared" si="47"/>
        <v>571.49868623832992</v>
      </c>
    </row>
    <row r="741" spans="18:26">
      <c r="R741">
        <f t="shared" si="48"/>
        <v>2018</v>
      </c>
      <c r="S741" s="10">
        <v>43140</v>
      </c>
      <c r="T741" s="2">
        <v>24.7</v>
      </c>
      <c r="U741" s="13">
        <v>43140</v>
      </c>
      <c r="V741" s="1">
        <v>47799.09</v>
      </c>
      <c r="X741" s="7">
        <f t="shared" si="45"/>
        <v>43140</v>
      </c>
      <c r="Y741" s="11">
        <f t="shared" si="46"/>
        <v>726.47058823529437</v>
      </c>
      <c r="Z741" s="11">
        <f t="shared" si="47"/>
        <v>542.05103314852363</v>
      </c>
    </row>
    <row r="742" spans="18:26">
      <c r="R742">
        <f t="shared" si="48"/>
        <v>2018</v>
      </c>
      <c r="S742" s="10">
        <v>43147</v>
      </c>
      <c r="T742" s="2">
        <v>25.65</v>
      </c>
      <c r="U742" s="13">
        <v>43147</v>
      </c>
      <c r="V742" s="1">
        <v>48882.78</v>
      </c>
      <c r="X742" s="7">
        <f t="shared" si="45"/>
        <v>43147</v>
      </c>
      <c r="Y742" s="11">
        <f t="shared" si="46"/>
        <v>754.41176470588255</v>
      </c>
      <c r="Z742" s="11">
        <f t="shared" si="47"/>
        <v>554.34028978735773</v>
      </c>
    </row>
    <row r="743" spans="18:26">
      <c r="R743">
        <f t="shared" si="48"/>
        <v>2018</v>
      </c>
      <c r="S743" s="10">
        <v>43154</v>
      </c>
      <c r="T743" s="2">
        <v>25.71</v>
      </c>
      <c r="U743" s="13">
        <v>43154</v>
      </c>
      <c r="V743" s="1">
        <v>48643.43</v>
      </c>
      <c r="X743" s="7">
        <f t="shared" si="45"/>
        <v>43154</v>
      </c>
      <c r="Y743" s="11">
        <f t="shared" si="46"/>
        <v>756.17647058823559</v>
      </c>
      <c r="Z743" s="11">
        <f t="shared" si="47"/>
        <v>551.62601395524257</v>
      </c>
    </row>
    <row r="744" spans="18:26">
      <c r="R744">
        <f t="shared" si="48"/>
        <v>2018</v>
      </c>
      <c r="S744" s="10">
        <v>43161</v>
      </c>
      <c r="T744" s="2">
        <v>24.33</v>
      </c>
      <c r="U744" s="13">
        <v>43161</v>
      </c>
      <c r="V744" s="1">
        <v>47548.11</v>
      </c>
      <c r="X744" s="7">
        <f t="shared" si="45"/>
        <v>43161</v>
      </c>
      <c r="Y744" s="11">
        <f t="shared" si="46"/>
        <v>715.58823529411791</v>
      </c>
      <c r="Z744" s="11">
        <f t="shared" si="47"/>
        <v>539.20487084083936</v>
      </c>
    </row>
    <row r="745" spans="18:26">
      <c r="R745">
        <f t="shared" si="48"/>
        <v>2018</v>
      </c>
      <c r="S745" s="10">
        <v>43168</v>
      </c>
      <c r="T745" s="2">
        <v>25.23</v>
      </c>
      <c r="U745" s="13">
        <v>43168</v>
      </c>
      <c r="V745" s="1">
        <v>48556.45</v>
      </c>
      <c r="X745" s="7">
        <f t="shared" si="45"/>
        <v>43168</v>
      </c>
      <c r="Y745" s="11">
        <f t="shared" si="46"/>
        <v>742.05882352941217</v>
      </c>
      <c r="Z745" s="11">
        <f t="shared" si="47"/>
        <v>550.63964373641079</v>
      </c>
    </row>
    <row r="746" spans="18:26">
      <c r="R746">
        <f t="shared" si="48"/>
        <v>2018</v>
      </c>
      <c r="S746" s="10">
        <v>43175</v>
      </c>
      <c r="T746" s="2">
        <v>25.6</v>
      </c>
      <c r="U746" s="13">
        <v>43175</v>
      </c>
      <c r="V746" s="1">
        <v>47477.58</v>
      </c>
      <c r="X746" s="7">
        <f t="shared" si="45"/>
        <v>43175</v>
      </c>
      <c r="Y746" s="11">
        <f t="shared" si="46"/>
        <v>752.94117647058874</v>
      </c>
      <c r="Z746" s="11">
        <f t="shared" si="47"/>
        <v>538.40504684067605</v>
      </c>
    </row>
    <row r="747" spans="18:26">
      <c r="R747">
        <f t="shared" si="48"/>
        <v>2018</v>
      </c>
      <c r="S747" s="10">
        <v>43182</v>
      </c>
      <c r="T747" s="2">
        <v>25.33</v>
      </c>
      <c r="U747" s="13">
        <v>43182</v>
      </c>
      <c r="V747" s="1">
        <v>46515.93</v>
      </c>
      <c r="X747" s="7">
        <f t="shared" si="45"/>
        <v>43182</v>
      </c>
      <c r="Y747" s="11">
        <f t="shared" si="46"/>
        <v>745.00000000000045</v>
      </c>
      <c r="Z747" s="11">
        <f t="shared" si="47"/>
        <v>527.49974768064442</v>
      </c>
    </row>
    <row r="748" spans="18:26">
      <c r="R748">
        <f t="shared" si="48"/>
        <v>2018</v>
      </c>
      <c r="S748" s="10">
        <v>43189</v>
      </c>
      <c r="T748" s="2">
        <v>24.74</v>
      </c>
      <c r="U748" s="13">
        <v>43189</v>
      </c>
      <c r="V748" s="1">
        <v>46124.85</v>
      </c>
      <c r="X748" s="7">
        <f t="shared" si="45"/>
        <v>43189</v>
      </c>
      <c r="Y748" s="11">
        <f t="shared" si="46"/>
        <v>727.64705882352985</v>
      </c>
      <c r="Z748" s="11">
        <f t="shared" si="47"/>
        <v>523.06482396047056</v>
      </c>
    </row>
    <row r="749" spans="18:26">
      <c r="R749">
        <f t="shared" si="48"/>
        <v>2018</v>
      </c>
      <c r="S749" s="10">
        <v>43196</v>
      </c>
      <c r="T749" s="2">
        <v>24.48</v>
      </c>
      <c r="U749" s="13">
        <v>43196</v>
      </c>
      <c r="V749" s="1">
        <v>47926.11</v>
      </c>
      <c r="X749" s="7">
        <f t="shared" si="45"/>
        <v>43196</v>
      </c>
      <c r="Y749" s="11">
        <f t="shared" si="46"/>
        <v>720.00000000000045</v>
      </c>
      <c r="Z749" s="11">
        <f t="shared" si="47"/>
        <v>543.49146480173158</v>
      </c>
    </row>
    <row r="750" spans="18:26">
      <c r="R750">
        <f t="shared" si="48"/>
        <v>2018</v>
      </c>
      <c r="S750" s="10">
        <v>43203</v>
      </c>
      <c r="T750" s="2">
        <v>25.51</v>
      </c>
      <c r="U750" s="13">
        <v>43203</v>
      </c>
      <c r="V750" s="1">
        <v>48768.3</v>
      </c>
      <c r="X750" s="7">
        <f t="shared" si="45"/>
        <v>43203</v>
      </c>
      <c r="Y750" s="11">
        <f t="shared" si="46"/>
        <v>750.29411764705935</v>
      </c>
      <c r="Z750" s="11">
        <f t="shared" si="47"/>
        <v>553.04206418777335</v>
      </c>
    </row>
    <row r="751" spans="18:26">
      <c r="R751">
        <f t="shared" si="48"/>
        <v>2018</v>
      </c>
      <c r="S751" s="10">
        <v>43210</v>
      </c>
      <c r="T751" s="2">
        <v>24.87</v>
      </c>
      <c r="U751" s="13">
        <v>43210</v>
      </c>
      <c r="V751" s="1">
        <v>48431.58</v>
      </c>
      <c r="X751" s="7">
        <f t="shared" si="45"/>
        <v>43210</v>
      </c>
      <c r="Y751" s="11">
        <f t="shared" si="46"/>
        <v>731.4705882352946</v>
      </c>
      <c r="Z751" s="11">
        <f t="shared" si="47"/>
        <v>549.22359350388012</v>
      </c>
    </row>
    <row r="752" spans="18:26">
      <c r="R752">
        <f t="shared" si="48"/>
        <v>2018</v>
      </c>
      <c r="S752" s="10">
        <v>43217</v>
      </c>
      <c r="T752" s="2">
        <v>24.79</v>
      </c>
      <c r="U752" s="13">
        <v>43217</v>
      </c>
      <c r="V752" s="1">
        <v>48284.61</v>
      </c>
      <c r="X752" s="7">
        <f t="shared" si="45"/>
        <v>43217</v>
      </c>
      <c r="Y752" s="11">
        <f t="shared" si="46"/>
        <v>729.11764705882399</v>
      </c>
      <c r="Z752" s="11">
        <f t="shared" si="47"/>
        <v>547.55692494718085</v>
      </c>
    </row>
    <row r="753" spans="18:26">
      <c r="R753">
        <f t="shared" si="48"/>
        <v>2018</v>
      </c>
      <c r="S753" s="10">
        <v>43224</v>
      </c>
      <c r="T753" s="2">
        <v>23.09</v>
      </c>
      <c r="U753" s="13">
        <v>43224</v>
      </c>
      <c r="V753" s="1">
        <v>46992.17</v>
      </c>
      <c r="X753" s="7">
        <f t="shared" si="45"/>
        <v>43224</v>
      </c>
      <c r="Y753" s="11">
        <f t="shared" si="46"/>
        <v>679.11764705882399</v>
      </c>
      <c r="Z753" s="11">
        <f t="shared" si="47"/>
        <v>532.90040246354192</v>
      </c>
    </row>
    <row r="754" spans="18:26">
      <c r="R754">
        <f t="shared" si="48"/>
        <v>2018</v>
      </c>
      <c r="S754" s="10">
        <v>43231</v>
      </c>
      <c r="T754" s="2">
        <v>24.8</v>
      </c>
      <c r="U754" s="13">
        <v>43231</v>
      </c>
      <c r="V754" s="1">
        <v>46728.92</v>
      </c>
      <c r="X754" s="7">
        <f t="shared" si="45"/>
        <v>43231</v>
      </c>
      <c r="Y754" s="11">
        <f t="shared" si="46"/>
        <v>729.41176470588289</v>
      </c>
      <c r="Z754" s="11">
        <f t="shared" si="47"/>
        <v>529.91509595506341</v>
      </c>
    </row>
    <row r="755" spans="18:26">
      <c r="R755">
        <f t="shared" si="48"/>
        <v>2018</v>
      </c>
      <c r="S755" s="10">
        <v>43238</v>
      </c>
      <c r="T755" s="2">
        <v>25.51</v>
      </c>
      <c r="U755" s="13">
        <v>43238</v>
      </c>
      <c r="V755" s="1">
        <v>45666.77</v>
      </c>
      <c r="X755" s="7">
        <f t="shared" si="45"/>
        <v>43238</v>
      </c>
      <c r="Y755" s="11">
        <f t="shared" si="46"/>
        <v>750.29411764705935</v>
      </c>
      <c r="Z755" s="11">
        <f t="shared" si="47"/>
        <v>517.87010713082623</v>
      </c>
    </row>
    <row r="756" spans="18:26">
      <c r="R756">
        <f t="shared" si="48"/>
        <v>2018</v>
      </c>
      <c r="S756" s="10">
        <v>43245</v>
      </c>
      <c r="T756" s="2">
        <v>24.46</v>
      </c>
      <c r="U756" s="13">
        <v>43245</v>
      </c>
      <c r="V756" s="1">
        <v>45091.99</v>
      </c>
      <c r="X756" s="7">
        <f t="shared" si="45"/>
        <v>43245</v>
      </c>
      <c r="Y756" s="11">
        <f t="shared" si="46"/>
        <v>719.41176470588289</v>
      </c>
      <c r="Z756" s="11">
        <f t="shared" si="47"/>
        <v>511.35198946722414</v>
      </c>
    </row>
    <row r="757" spans="18:26">
      <c r="R757">
        <f t="shared" si="48"/>
        <v>2018</v>
      </c>
      <c r="S757" s="10">
        <v>43252</v>
      </c>
      <c r="T757" s="2">
        <v>23.93</v>
      </c>
      <c r="U757" s="13">
        <v>43252</v>
      </c>
      <c r="V757" s="1">
        <v>45013.13</v>
      </c>
      <c r="X757" s="7">
        <f t="shared" si="45"/>
        <v>43252</v>
      </c>
      <c r="Y757" s="11">
        <f t="shared" si="46"/>
        <v>703.82352941176521</v>
      </c>
      <c r="Z757" s="11">
        <f t="shared" si="47"/>
        <v>510.45770163718191</v>
      </c>
    </row>
    <row r="758" spans="18:26">
      <c r="R758">
        <f t="shared" si="48"/>
        <v>2018</v>
      </c>
      <c r="S758" s="10">
        <v>43259</v>
      </c>
      <c r="T758" s="2">
        <v>23.35</v>
      </c>
      <c r="U758" s="13">
        <v>43259</v>
      </c>
      <c r="V758" s="1">
        <v>45939.54</v>
      </c>
      <c r="X758" s="7">
        <f t="shared" si="45"/>
        <v>43259</v>
      </c>
      <c r="Y758" s="11">
        <f t="shared" si="46"/>
        <v>686.7647058823535</v>
      </c>
      <c r="Z758" s="11">
        <f t="shared" si="47"/>
        <v>520.96337230202357</v>
      </c>
    </row>
    <row r="759" spans="18:26">
      <c r="R759">
        <f t="shared" si="48"/>
        <v>2018</v>
      </c>
      <c r="S759" s="10">
        <v>43266</v>
      </c>
      <c r="T759" s="2">
        <v>23.36</v>
      </c>
      <c r="U759" s="13">
        <v>43266</v>
      </c>
      <c r="V759" s="1">
        <v>46938.82</v>
      </c>
      <c r="X759" s="7">
        <f t="shared" si="45"/>
        <v>43266</v>
      </c>
      <c r="Y759" s="11">
        <f t="shared" si="46"/>
        <v>687.05882352941228</v>
      </c>
      <c r="Z759" s="11">
        <f t="shared" si="47"/>
        <v>532.29540302488158</v>
      </c>
    </row>
    <row r="760" spans="18:26">
      <c r="R760">
        <f t="shared" si="48"/>
        <v>2018</v>
      </c>
      <c r="S760" s="10">
        <v>43273</v>
      </c>
      <c r="T760" s="2">
        <v>23.03</v>
      </c>
      <c r="U760" s="13">
        <v>43273</v>
      </c>
      <c r="V760" s="1">
        <v>46737.64</v>
      </c>
      <c r="X760" s="7">
        <f t="shared" si="45"/>
        <v>43273</v>
      </c>
      <c r="Y760" s="11">
        <f t="shared" si="46"/>
        <v>677.35294117647118</v>
      </c>
      <c r="Z760" s="11">
        <f t="shared" si="47"/>
        <v>530.0139824612512</v>
      </c>
    </row>
    <row r="761" spans="18:26">
      <c r="R761">
        <f t="shared" si="48"/>
        <v>2018</v>
      </c>
      <c r="S761" s="10">
        <v>43280</v>
      </c>
      <c r="T761" s="2">
        <v>24.67</v>
      </c>
      <c r="U761" s="13">
        <v>43280</v>
      </c>
      <c r="V761" s="1">
        <v>47663.199999999997</v>
      </c>
      <c r="X761" s="7">
        <f t="shared" si="45"/>
        <v>43280</v>
      </c>
      <c r="Y761" s="11">
        <f t="shared" si="46"/>
        <v>725.58823529411825</v>
      </c>
      <c r="Z761" s="11">
        <f t="shared" si="47"/>
        <v>540.51001395977869</v>
      </c>
    </row>
    <row r="762" spans="18:26">
      <c r="R762">
        <f t="shared" si="48"/>
        <v>2018</v>
      </c>
      <c r="S762" s="10">
        <v>43287</v>
      </c>
      <c r="T762" s="2">
        <v>25.73</v>
      </c>
      <c r="U762" s="13">
        <v>43287</v>
      </c>
      <c r="V762" s="1">
        <v>48981.41</v>
      </c>
      <c r="X762" s="7">
        <f t="shared" si="45"/>
        <v>43287</v>
      </c>
      <c r="Y762" s="11">
        <f t="shared" si="46"/>
        <v>756.76470588235361</v>
      </c>
      <c r="Z762" s="11">
        <f t="shared" si="47"/>
        <v>555.45877328567212</v>
      </c>
    </row>
    <row r="763" spans="18:26">
      <c r="R763">
        <f t="shared" si="48"/>
        <v>2018</v>
      </c>
      <c r="S763" s="10">
        <v>43294</v>
      </c>
      <c r="T763" s="2">
        <v>25.67</v>
      </c>
      <c r="U763" s="13">
        <v>43294</v>
      </c>
      <c r="V763" s="1">
        <v>48406.01</v>
      </c>
      <c r="X763" s="7">
        <f t="shared" si="45"/>
        <v>43294</v>
      </c>
      <c r="Y763" s="11">
        <f t="shared" si="46"/>
        <v>755.00000000000068</v>
      </c>
      <c r="Z763" s="11">
        <f t="shared" si="47"/>
        <v>548.9336247007584</v>
      </c>
    </row>
    <row r="764" spans="18:26">
      <c r="R764">
        <f t="shared" si="48"/>
        <v>2018</v>
      </c>
      <c r="S764" s="10">
        <v>43301</v>
      </c>
      <c r="T764" s="2">
        <v>25.23</v>
      </c>
      <c r="U764" s="13">
        <v>43301</v>
      </c>
      <c r="V764" s="1">
        <v>48908.24</v>
      </c>
      <c r="X764" s="7">
        <f t="shared" si="45"/>
        <v>43301</v>
      </c>
      <c r="Y764" s="11">
        <f t="shared" si="46"/>
        <v>742.05882352941239</v>
      </c>
      <c r="Z764" s="11">
        <f t="shared" si="47"/>
        <v>554.62901116895648</v>
      </c>
    </row>
    <row r="765" spans="18:26">
      <c r="R765">
        <f t="shared" si="48"/>
        <v>2018</v>
      </c>
      <c r="S765" s="10">
        <v>43308</v>
      </c>
      <c r="T765" s="2">
        <v>25.81</v>
      </c>
      <c r="U765" s="13">
        <v>43308</v>
      </c>
      <c r="V765" s="1">
        <v>49643.94</v>
      </c>
      <c r="X765" s="7">
        <f t="shared" si="45"/>
        <v>43308</v>
      </c>
      <c r="Y765" s="11">
        <f t="shared" si="46"/>
        <v>759.1176470588241</v>
      </c>
      <c r="Z765" s="11">
        <f t="shared" si="47"/>
        <v>562.97199311876705</v>
      </c>
    </row>
    <row r="766" spans="18:26">
      <c r="R766">
        <f t="shared" si="48"/>
        <v>2018</v>
      </c>
      <c r="S766" s="10">
        <v>43315</v>
      </c>
      <c r="T766" s="2">
        <v>25.46</v>
      </c>
      <c r="U766" s="13">
        <v>43315</v>
      </c>
      <c r="V766" s="1">
        <v>49302.57</v>
      </c>
      <c r="X766" s="7">
        <f t="shared" si="45"/>
        <v>43315</v>
      </c>
      <c r="Y766" s="11">
        <f t="shared" si="46"/>
        <v>748.82352941176532</v>
      </c>
      <c r="Z766" s="11">
        <f t="shared" si="47"/>
        <v>559.1007905250375</v>
      </c>
    </row>
    <row r="767" spans="18:26">
      <c r="R767">
        <f t="shared" si="48"/>
        <v>2018</v>
      </c>
      <c r="S767" s="10">
        <v>43322</v>
      </c>
      <c r="T767" s="2">
        <v>24.83</v>
      </c>
      <c r="U767" s="13">
        <v>43322</v>
      </c>
      <c r="V767" s="1">
        <v>48383.59</v>
      </c>
      <c r="X767" s="7">
        <f t="shared" si="45"/>
        <v>43322</v>
      </c>
      <c r="Y767" s="11">
        <f t="shared" si="46"/>
        <v>730.29411764705935</v>
      </c>
      <c r="Z767" s="11">
        <f t="shared" si="47"/>
        <v>548.67937751397744</v>
      </c>
    </row>
    <row r="768" spans="18:26">
      <c r="R768">
        <f t="shared" si="48"/>
        <v>2018</v>
      </c>
      <c r="S768" s="10">
        <v>43329</v>
      </c>
      <c r="T768" s="2">
        <v>24.7</v>
      </c>
      <c r="U768" s="13">
        <v>43329</v>
      </c>
      <c r="V768" s="1">
        <v>48264.63</v>
      </c>
      <c r="X768" s="7">
        <f t="shared" si="45"/>
        <v>43329</v>
      </c>
      <c r="Y768" s="11">
        <f t="shared" si="46"/>
        <v>726.47058823529471</v>
      </c>
      <c r="Z768" s="11">
        <f t="shared" si="47"/>
        <v>547.33034783781943</v>
      </c>
    </row>
    <row r="769" spans="18:26">
      <c r="R769">
        <f t="shared" si="48"/>
        <v>2018</v>
      </c>
      <c r="S769" s="10">
        <v>43336</v>
      </c>
      <c r="T769" s="2">
        <v>25.41</v>
      </c>
      <c r="U769" s="13">
        <v>43336</v>
      </c>
      <c r="V769" s="1">
        <v>49633.77</v>
      </c>
      <c r="X769" s="7">
        <f t="shared" si="45"/>
        <v>43336</v>
      </c>
      <c r="Y769" s="11">
        <f t="shared" si="46"/>
        <v>747.35294117647118</v>
      </c>
      <c r="Z769" s="11">
        <f t="shared" si="47"/>
        <v>562.85666332886683</v>
      </c>
    </row>
    <row r="770" spans="18:26">
      <c r="R770">
        <f t="shared" si="48"/>
        <v>2018</v>
      </c>
      <c r="S770" s="10">
        <v>43343</v>
      </c>
      <c r="T770" s="2">
        <v>24.98</v>
      </c>
      <c r="U770" s="13">
        <v>43343</v>
      </c>
      <c r="V770" s="1">
        <v>49547.68</v>
      </c>
      <c r="X770" s="7">
        <f t="shared" si="45"/>
        <v>43343</v>
      </c>
      <c r="Y770" s="11">
        <f t="shared" si="46"/>
        <v>734.70588235294179</v>
      </c>
      <c r="Z770" s="11">
        <f t="shared" si="47"/>
        <v>561.88038588417578</v>
      </c>
    </row>
    <row r="771" spans="18:26">
      <c r="R771">
        <f t="shared" si="48"/>
        <v>2018</v>
      </c>
      <c r="S771" s="10">
        <v>43350</v>
      </c>
      <c r="T771" s="2">
        <v>24.32</v>
      </c>
      <c r="U771" s="13">
        <v>43350</v>
      </c>
      <c r="V771" s="1">
        <v>48971.14</v>
      </c>
      <c r="X771" s="7">
        <f t="shared" si="45"/>
        <v>43350</v>
      </c>
      <c r="Y771" s="11">
        <f t="shared" si="46"/>
        <v>715.29411764705947</v>
      </c>
      <c r="Z771" s="11">
        <f t="shared" si="47"/>
        <v>555.34230947620551</v>
      </c>
    </row>
    <row r="772" spans="18:26">
      <c r="R772">
        <f t="shared" si="48"/>
        <v>2018</v>
      </c>
      <c r="S772" s="10">
        <v>43357</v>
      </c>
      <c r="T772" s="2">
        <v>24.3</v>
      </c>
      <c r="U772" s="13">
        <v>43357</v>
      </c>
      <c r="V772" s="1">
        <v>49611.93</v>
      </c>
      <c r="X772" s="7">
        <f t="shared" si="45"/>
        <v>43357</v>
      </c>
      <c r="Y772" s="11">
        <f t="shared" si="46"/>
        <v>714.70588235294179</v>
      </c>
      <c r="Z772" s="11">
        <f t="shared" si="47"/>
        <v>562.60899345557095</v>
      </c>
    </row>
    <row r="773" spans="18:26">
      <c r="R773">
        <f t="shared" si="48"/>
        <v>2018</v>
      </c>
      <c r="S773" s="10">
        <v>43364</v>
      </c>
      <c r="T773" s="2">
        <v>24.92</v>
      </c>
      <c r="U773" s="13">
        <v>43364</v>
      </c>
      <c r="V773" s="1">
        <v>49344.29</v>
      </c>
      <c r="X773" s="7">
        <f t="shared" ref="X773:X811" si="49">+S773</f>
        <v>43364</v>
      </c>
      <c r="Y773" s="11">
        <f t="shared" si="46"/>
        <v>732.94117647058886</v>
      </c>
      <c r="Z773" s="11">
        <f t="shared" si="47"/>
        <v>559.57390348812862</v>
      </c>
    </row>
    <row r="774" spans="18:26">
      <c r="R774">
        <f t="shared" si="48"/>
        <v>2018</v>
      </c>
      <c r="S774" s="10">
        <v>43371</v>
      </c>
      <c r="T774" s="2">
        <v>24.79</v>
      </c>
      <c r="U774" s="13">
        <v>43371</v>
      </c>
      <c r="V774" s="1">
        <v>49504.160000000003</v>
      </c>
      <c r="X774" s="7">
        <f t="shared" si="49"/>
        <v>43371</v>
      </c>
      <c r="Y774" s="11">
        <f t="shared" ref="Y774:Y811" si="50">+Y773*(T774/T773)</f>
        <v>729.1176470588241</v>
      </c>
      <c r="Z774" s="11">
        <f t="shared" ref="Z774:Z811" si="51">+Z773*(V774/V773)</f>
        <v>561.38686056889014</v>
      </c>
    </row>
    <row r="775" spans="18:26">
      <c r="R775">
        <f t="shared" ref="R775:R838" si="52">+YEAR(S775)</f>
        <v>2018</v>
      </c>
      <c r="S775" s="10">
        <v>43378</v>
      </c>
      <c r="T775" s="2">
        <v>23.69</v>
      </c>
      <c r="U775" s="13">
        <v>43378</v>
      </c>
      <c r="V775" s="1">
        <v>48052.85</v>
      </c>
      <c r="X775" s="7">
        <f t="shared" si="49"/>
        <v>43378</v>
      </c>
      <c r="Y775" s="11">
        <f t="shared" si="50"/>
        <v>696.76470588235361</v>
      </c>
      <c r="Z775" s="11">
        <f t="shared" si="51"/>
        <v>544.9287212001534</v>
      </c>
    </row>
    <row r="776" spans="18:26">
      <c r="R776">
        <f t="shared" si="52"/>
        <v>2018</v>
      </c>
      <c r="S776" s="10">
        <v>43385</v>
      </c>
      <c r="T776" s="2">
        <v>23.76</v>
      </c>
      <c r="U776" s="13">
        <v>43385</v>
      </c>
      <c r="V776" s="1">
        <v>47444.05</v>
      </c>
      <c r="X776" s="7">
        <f t="shared" si="49"/>
        <v>43385</v>
      </c>
      <c r="Y776" s="11">
        <f t="shared" si="50"/>
        <v>698.82352941176532</v>
      </c>
      <c r="Z776" s="11">
        <f t="shared" si="51"/>
        <v>538.02481008007101</v>
      </c>
    </row>
    <row r="777" spans="18:26">
      <c r="R777">
        <f t="shared" si="52"/>
        <v>2018</v>
      </c>
      <c r="S777" s="10">
        <v>43392</v>
      </c>
      <c r="T777" s="2">
        <v>23.66</v>
      </c>
      <c r="U777" s="13">
        <v>43392</v>
      </c>
      <c r="V777" s="1">
        <v>47437.45</v>
      </c>
      <c r="X777" s="7">
        <f t="shared" si="49"/>
        <v>43392</v>
      </c>
      <c r="Y777" s="11">
        <f t="shared" si="50"/>
        <v>695.88235294117703</v>
      </c>
      <c r="Z777" s="11">
        <f t="shared" si="51"/>
        <v>537.94996478869029</v>
      </c>
    </row>
    <row r="778" spans="18:26">
      <c r="R778">
        <f t="shared" si="52"/>
        <v>2018</v>
      </c>
      <c r="S778" s="10">
        <v>43399</v>
      </c>
      <c r="T778" s="2">
        <v>22.06</v>
      </c>
      <c r="U778" s="13">
        <v>43399</v>
      </c>
      <c r="V778" s="1">
        <v>45803.33</v>
      </c>
      <c r="X778" s="7">
        <f t="shared" si="49"/>
        <v>43399</v>
      </c>
      <c r="Y778" s="11">
        <f t="shared" si="50"/>
        <v>648.82352941176521</v>
      </c>
      <c r="Z778" s="11">
        <f t="shared" si="51"/>
        <v>519.41872425066617</v>
      </c>
    </row>
    <row r="779" spans="18:26">
      <c r="R779">
        <f t="shared" si="52"/>
        <v>2018</v>
      </c>
      <c r="S779" s="10">
        <v>43406</v>
      </c>
      <c r="T779" s="2">
        <v>22.25</v>
      </c>
      <c r="U779" s="13">
        <v>43406</v>
      </c>
      <c r="V779" s="1">
        <v>45446.83</v>
      </c>
      <c r="X779" s="7">
        <f t="shared" si="49"/>
        <v>43406</v>
      </c>
      <c r="Y779" s="11">
        <f t="shared" si="50"/>
        <v>654.41176470588289</v>
      </c>
      <c r="Z779" s="11">
        <f t="shared" si="51"/>
        <v>515.37594449654432</v>
      </c>
    </row>
    <row r="780" spans="18:26">
      <c r="R780">
        <f t="shared" si="52"/>
        <v>2018</v>
      </c>
      <c r="S780" s="10">
        <v>43413</v>
      </c>
      <c r="T780" s="2">
        <v>22.81</v>
      </c>
      <c r="U780" s="13">
        <v>43413</v>
      </c>
      <c r="V780" s="1">
        <v>44263.74</v>
      </c>
      <c r="X780" s="7">
        <f t="shared" si="49"/>
        <v>43413</v>
      </c>
      <c r="Y780" s="11">
        <f t="shared" si="50"/>
        <v>670.88235294117703</v>
      </c>
      <c r="Z780" s="11">
        <f t="shared" si="51"/>
        <v>501.95947240873488</v>
      </c>
    </row>
    <row r="781" spans="18:26">
      <c r="R781">
        <f t="shared" si="52"/>
        <v>2018</v>
      </c>
      <c r="S781" s="10">
        <v>43420</v>
      </c>
      <c r="T781" s="2">
        <v>22.53</v>
      </c>
      <c r="U781" s="13">
        <v>43420</v>
      </c>
      <c r="V781" s="1">
        <v>42319.27</v>
      </c>
      <c r="X781" s="7">
        <f t="shared" si="49"/>
        <v>43420</v>
      </c>
      <c r="Y781" s="11">
        <f t="shared" si="50"/>
        <v>662.64705882353007</v>
      </c>
      <c r="Z781" s="11">
        <f t="shared" si="51"/>
        <v>479.90880214647024</v>
      </c>
    </row>
    <row r="782" spans="18:26">
      <c r="R782">
        <f t="shared" si="52"/>
        <v>2018</v>
      </c>
      <c r="S782" s="10">
        <v>43427</v>
      </c>
      <c r="T782" s="2">
        <v>22.15</v>
      </c>
      <c r="U782" s="13">
        <v>43427</v>
      </c>
      <c r="V782" s="1">
        <v>41144.33</v>
      </c>
      <c r="X782" s="7">
        <f t="shared" si="49"/>
        <v>43427</v>
      </c>
      <c r="Y782" s="11">
        <f t="shared" si="50"/>
        <v>651.47058823529471</v>
      </c>
      <c r="Z782" s="11">
        <f t="shared" si="51"/>
        <v>466.58475265332038</v>
      </c>
    </row>
    <row r="783" spans="18:26">
      <c r="R783">
        <f t="shared" si="52"/>
        <v>2018</v>
      </c>
      <c r="S783" s="10">
        <v>43434</v>
      </c>
      <c r="T783" s="2">
        <v>22.66</v>
      </c>
      <c r="U783" s="13">
        <v>43434</v>
      </c>
      <c r="V783" s="1">
        <v>41732.78</v>
      </c>
      <c r="X783" s="7">
        <f t="shared" si="49"/>
        <v>43434</v>
      </c>
      <c r="Y783" s="11">
        <f t="shared" si="50"/>
        <v>666.47058823529471</v>
      </c>
      <c r="Z783" s="11">
        <f t="shared" si="51"/>
        <v>473.25789079164571</v>
      </c>
    </row>
    <row r="784" spans="18:26">
      <c r="R784">
        <f t="shared" si="52"/>
        <v>2018</v>
      </c>
      <c r="S784" s="10">
        <v>43441</v>
      </c>
      <c r="T784" s="2">
        <v>22.64</v>
      </c>
      <c r="U784" s="13">
        <v>43441</v>
      </c>
      <c r="V784" s="1">
        <v>41870.129999999997</v>
      </c>
      <c r="X784" s="7">
        <f t="shared" si="49"/>
        <v>43441</v>
      </c>
      <c r="Y784" s="11">
        <f t="shared" si="50"/>
        <v>665.88235294117703</v>
      </c>
      <c r="Z784" s="11">
        <f t="shared" si="51"/>
        <v>474.81546666605982</v>
      </c>
    </row>
    <row r="785" spans="18:26">
      <c r="R785">
        <f t="shared" si="52"/>
        <v>2018</v>
      </c>
      <c r="S785" s="10">
        <v>43448</v>
      </c>
      <c r="T785" s="2">
        <v>22.9</v>
      </c>
      <c r="U785" s="13">
        <v>43448</v>
      </c>
      <c r="V785" s="1">
        <v>41312.17</v>
      </c>
      <c r="X785" s="7">
        <f t="shared" si="49"/>
        <v>43448</v>
      </c>
      <c r="Y785" s="11">
        <f t="shared" si="50"/>
        <v>673.52941176470631</v>
      </c>
      <c r="Z785" s="11">
        <f t="shared" si="51"/>
        <v>468.48809109352175</v>
      </c>
    </row>
    <row r="786" spans="18:26">
      <c r="R786">
        <f t="shared" si="52"/>
        <v>2018</v>
      </c>
      <c r="S786" s="10">
        <v>43455</v>
      </c>
      <c r="T786" s="2">
        <v>23.82</v>
      </c>
      <c r="U786" s="13">
        <v>43455</v>
      </c>
      <c r="V786" s="1">
        <v>41468.559999999998</v>
      </c>
      <c r="X786" s="7">
        <f t="shared" si="49"/>
        <v>43455</v>
      </c>
      <c r="Y786" s="11">
        <f t="shared" si="50"/>
        <v>700.58823529411814</v>
      </c>
      <c r="Z786" s="11">
        <f t="shared" si="51"/>
        <v>470.26158429337346</v>
      </c>
    </row>
    <row r="787" spans="18:26">
      <c r="R787">
        <f t="shared" si="52"/>
        <v>2018</v>
      </c>
      <c r="S787" s="10">
        <v>43462</v>
      </c>
      <c r="T787" s="2">
        <v>23.64</v>
      </c>
      <c r="U787" s="13">
        <v>43462</v>
      </c>
      <c r="V787" s="1">
        <v>41459.15</v>
      </c>
      <c r="X787" s="7">
        <f t="shared" si="49"/>
        <v>43462</v>
      </c>
      <c r="Y787" s="11">
        <f t="shared" si="50"/>
        <v>695.29411764705935</v>
      </c>
      <c r="Z787" s="11">
        <f t="shared" si="51"/>
        <v>470.15487305217772</v>
      </c>
    </row>
    <row r="788" spans="18:26">
      <c r="R788">
        <f t="shared" si="52"/>
        <v>2019</v>
      </c>
      <c r="S788" s="10">
        <v>43469</v>
      </c>
      <c r="T788" s="2">
        <v>24.31</v>
      </c>
      <c r="U788" s="13">
        <v>43469</v>
      </c>
      <c r="V788" s="1">
        <v>42455.13</v>
      </c>
      <c r="X788" s="7">
        <f t="shared" si="49"/>
        <v>43469</v>
      </c>
      <c r="Y788" s="11">
        <f t="shared" si="50"/>
        <v>715.00000000000057</v>
      </c>
      <c r="Z788" s="11">
        <f t="shared" si="51"/>
        <v>481.44948112934532</v>
      </c>
    </row>
    <row r="789" spans="18:26">
      <c r="R789">
        <f t="shared" si="52"/>
        <v>2019</v>
      </c>
      <c r="S789" s="10">
        <v>43476</v>
      </c>
      <c r="T789" s="2">
        <v>23.33</v>
      </c>
      <c r="U789" s="13">
        <v>43476</v>
      </c>
      <c r="V789" s="1">
        <v>43556.11</v>
      </c>
      <c r="X789" s="7">
        <f t="shared" si="49"/>
        <v>43476</v>
      </c>
      <c r="Y789" s="11">
        <f t="shared" si="50"/>
        <v>686.17647058823582</v>
      </c>
      <c r="Z789" s="11">
        <f t="shared" si="51"/>
        <v>493.93480975120531</v>
      </c>
    </row>
    <row r="790" spans="18:26">
      <c r="R790">
        <f t="shared" si="52"/>
        <v>2019</v>
      </c>
      <c r="S790" s="10">
        <v>43483</v>
      </c>
      <c r="T790" s="2">
        <v>23.44</v>
      </c>
      <c r="U790" s="13">
        <v>43483</v>
      </c>
      <c r="V790" s="1">
        <v>44241.54</v>
      </c>
      <c r="X790" s="7">
        <f t="shared" si="49"/>
        <v>43483</v>
      </c>
      <c r="Y790" s="11">
        <f t="shared" si="50"/>
        <v>689.41176470588289</v>
      </c>
      <c r="Z790" s="11">
        <f t="shared" si="51"/>
        <v>501.70772006499976</v>
      </c>
    </row>
    <row r="791" spans="18:26">
      <c r="R791">
        <f t="shared" si="52"/>
        <v>2019</v>
      </c>
      <c r="S791" s="10">
        <v>43490</v>
      </c>
      <c r="T791" s="2">
        <v>23.44</v>
      </c>
      <c r="U791" s="13">
        <v>43490</v>
      </c>
      <c r="V791" s="1">
        <v>43638.62</v>
      </c>
      <c r="X791" s="7">
        <f t="shared" si="49"/>
        <v>43490</v>
      </c>
      <c r="Y791" s="11">
        <f t="shared" si="50"/>
        <v>689.41176470588289</v>
      </c>
      <c r="Z791" s="11">
        <f t="shared" si="51"/>
        <v>494.8704892954201</v>
      </c>
    </row>
    <row r="792" spans="18:26">
      <c r="R792">
        <f t="shared" si="52"/>
        <v>2019</v>
      </c>
      <c r="S792" s="10">
        <v>43497</v>
      </c>
      <c r="T792" s="2">
        <v>24.65</v>
      </c>
      <c r="U792" s="13">
        <v>43497</v>
      </c>
      <c r="V792" s="1">
        <v>43738.27</v>
      </c>
      <c r="X792" s="7">
        <f t="shared" si="49"/>
        <v>43497</v>
      </c>
      <c r="Y792" s="11">
        <f t="shared" si="50"/>
        <v>725.00000000000045</v>
      </c>
      <c r="Z792" s="11">
        <f t="shared" si="51"/>
        <v>496.0005397933113</v>
      </c>
    </row>
    <row r="793" spans="18:26">
      <c r="R793">
        <f t="shared" si="52"/>
        <v>2019</v>
      </c>
      <c r="S793" s="10">
        <v>43504</v>
      </c>
      <c r="T793" s="2">
        <v>24.67</v>
      </c>
      <c r="U793" s="13">
        <v>43504</v>
      </c>
      <c r="V793" s="1">
        <v>43180.45</v>
      </c>
      <c r="X793" s="7">
        <f t="shared" si="49"/>
        <v>43504</v>
      </c>
      <c r="Y793" s="11">
        <f t="shared" si="50"/>
        <v>725.58823529411814</v>
      </c>
      <c r="Z793" s="11">
        <f t="shared" si="51"/>
        <v>489.67475184816612</v>
      </c>
    </row>
    <row r="794" spans="18:26">
      <c r="R794">
        <f t="shared" si="52"/>
        <v>2019</v>
      </c>
      <c r="S794" s="10">
        <v>43511</v>
      </c>
      <c r="T794" s="2">
        <v>24.56</v>
      </c>
      <c r="U794" s="13">
        <v>43511</v>
      </c>
      <c r="V794" s="1">
        <v>42988.72</v>
      </c>
      <c r="X794" s="7">
        <f t="shared" si="49"/>
        <v>43511</v>
      </c>
      <c r="Y794" s="11">
        <f t="shared" si="50"/>
        <v>722.35294117647095</v>
      </c>
      <c r="Z794" s="11">
        <f t="shared" si="51"/>
        <v>487.5004961335581</v>
      </c>
    </row>
    <row r="795" spans="18:26">
      <c r="R795">
        <f t="shared" si="52"/>
        <v>2019</v>
      </c>
      <c r="S795" s="10">
        <v>43518</v>
      </c>
      <c r="T795" s="2">
        <v>24.32</v>
      </c>
      <c r="U795" s="13">
        <v>43518</v>
      </c>
      <c r="V795" s="1">
        <v>43738.66</v>
      </c>
      <c r="X795" s="7">
        <f t="shared" si="49"/>
        <v>43518</v>
      </c>
      <c r="Y795" s="11">
        <f t="shared" si="50"/>
        <v>715.29411764705924</v>
      </c>
      <c r="Z795" s="11">
        <f t="shared" si="51"/>
        <v>496.00496246962024</v>
      </c>
    </row>
    <row r="796" spans="18:26">
      <c r="R796">
        <f t="shared" si="52"/>
        <v>2019</v>
      </c>
      <c r="S796" s="10">
        <v>43525</v>
      </c>
      <c r="T796" s="2">
        <v>23.89</v>
      </c>
      <c r="U796" s="13">
        <v>43525</v>
      </c>
      <c r="V796" s="1">
        <v>42619.23</v>
      </c>
      <c r="X796" s="7">
        <f t="shared" si="49"/>
        <v>43525</v>
      </c>
      <c r="Y796" s="11">
        <f t="shared" si="50"/>
        <v>702.64705882352985</v>
      </c>
      <c r="Z796" s="11">
        <f t="shared" si="51"/>
        <v>483.31040723776431</v>
      </c>
    </row>
    <row r="797" spans="18:26">
      <c r="R797">
        <f t="shared" si="52"/>
        <v>2019</v>
      </c>
      <c r="S797" s="10">
        <v>43532</v>
      </c>
      <c r="T797" s="2">
        <v>24.31</v>
      </c>
      <c r="U797" s="13">
        <v>43532</v>
      </c>
      <c r="V797" s="1">
        <v>41586.699999999997</v>
      </c>
      <c r="X797" s="7">
        <f t="shared" si="49"/>
        <v>43532</v>
      </c>
      <c r="Y797" s="11">
        <f t="shared" si="50"/>
        <v>715.00000000000045</v>
      </c>
      <c r="Z797" s="11">
        <f t="shared" si="51"/>
        <v>471.60131500908699</v>
      </c>
    </row>
    <row r="798" spans="18:26">
      <c r="R798">
        <f t="shared" si="52"/>
        <v>2019</v>
      </c>
      <c r="S798" s="10">
        <v>43539</v>
      </c>
      <c r="T798" s="2">
        <v>23.92</v>
      </c>
      <c r="U798" s="13">
        <v>43539</v>
      </c>
      <c r="V798" s="1">
        <v>42210.46</v>
      </c>
      <c r="X798" s="7">
        <f t="shared" si="49"/>
        <v>43539</v>
      </c>
      <c r="Y798" s="11">
        <f t="shared" si="50"/>
        <v>703.52941176470642</v>
      </c>
      <c r="Z798" s="11">
        <f t="shared" si="51"/>
        <v>478.67487545629888</v>
      </c>
    </row>
    <row r="799" spans="18:26">
      <c r="R799">
        <f t="shared" si="52"/>
        <v>2019</v>
      </c>
      <c r="S799" s="10">
        <v>43546</v>
      </c>
      <c r="T799" s="2">
        <v>25.08</v>
      </c>
      <c r="U799" s="13">
        <v>43546</v>
      </c>
      <c r="V799" s="1">
        <v>42292.160000000003</v>
      </c>
      <c r="X799" s="7">
        <f t="shared" si="49"/>
        <v>43546</v>
      </c>
      <c r="Y799" s="11">
        <f t="shared" si="50"/>
        <v>737.64705882352985</v>
      </c>
      <c r="Z799" s="11">
        <f t="shared" si="51"/>
        <v>479.60136944202617</v>
      </c>
    </row>
    <row r="800" spans="18:26">
      <c r="R800">
        <f t="shared" si="52"/>
        <v>2019</v>
      </c>
      <c r="S800" s="10">
        <v>43553</v>
      </c>
      <c r="T800" s="2">
        <v>25.14</v>
      </c>
      <c r="U800" s="13">
        <v>43553</v>
      </c>
      <c r="V800" s="1">
        <v>43281.279999999999</v>
      </c>
      <c r="X800" s="7">
        <f t="shared" si="49"/>
        <v>43553</v>
      </c>
      <c r="Y800" s="11">
        <f t="shared" si="50"/>
        <v>739.41176470588289</v>
      </c>
      <c r="Z800" s="11">
        <f t="shared" si="51"/>
        <v>490.81818377694054</v>
      </c>
    </row>
    <row r="801" spans="18:26">
      <c r="R801">
        <f t="shared" si="52"/>
        <v>2019</v>
      </c>
      <c r="S801" s="10">
        <v>43560</v>
      </c>
      <c r="T801" s="2">
        <v>25.23</v>
      </c>
      <c r="U801" s="13">
        <v>43560</v>
      </c>
      <c r="V801" s="1">
        <v>44989.86</v>
      </c>
      <c r="X801" s="7">
        <f t="shared" si="49"/>
        <v>43560</v>
      </c>
      <c r="Y801" s="11">
        <f t="shared" si="50"/>
        <v>742.05882352941228</v>
      </c>
      <c r="Z801" s="11">
        <f t="shared" si="51"/>
        <v>510.1938152840865</v>
      </c>
    </row>
    <row r="802" spans="18:26">
      <c r="R802">
        <f t="shared" si="52"/>
        <v>2019</v>
      </c>
      <c r="S802" s="10">
        <v>43567</v>
      </c>
      <c r="T802" s="2">
        <v>25.55</v>
      </c>
      <c r="U802" s="13">
        <v>43567</v>
      </c>
      <c r="V802" s="1">
        <v>44686.06</v>
      </c>
      <c r="X802" s="7">
        <f t="shared" si="49"/>
        <v>43567</v>
      </c>
      <c r="Y802" s="11">
        <f t="shared" si="50"/>
        <v>751.4705882352946</v>
      </c>
      <c r="Z802" s="11">
        <f t="shared" si="51"/>
        <v>506.74866384144349</v>
      </c>
    </row>
    <row r="803" spans="18:26">
      <c r="R803">
        <f t="shared" si="52"/>
        <v>2019</v>
      </c>
      <c r="S803" s="10">
        <v>43574</v>
      </c>
      <c r="T803" s="2">
        <v>26.34</v>
      </c>
      <c r="U803" s="13">
        <v>43574</v>
      </c>
      <c r="V803" s="1">
        <v>45525.29</v>
      </c>
      <c r="X803" s="7">
        <f t="shared" si="49"/>
        <v>43574</v>
      </c>
      <c r="Y803" s="11">
        <f t="shared" si="50"/>
        <v>774.70588235294156</v>
      </c>
      <c r="Z803" s="11">
        <f t="shared" si="51"/>
        <v>516.26569624832064</v>
      </c>
    </row>
    <row r="804" spans="18:26">
      <c r="R804">
        <f t="shared" si="52"/>
        <v>2019</v>
      </c>
      <c r="S804" s="10">
        <v>43581</v>
      </c>
      <c r="T804" s="2">
        <v>25.49</v>
      </c>
      <c r="U804" s="13">
        <v>43581</v>
      </c>
      <c r="V804" s="1">
        <v>44974.97</v>
      </c>
      <c r="X804" s="7">
        <f t="shared" si="49"/>
        <v>43581</v>
      </c>
      <c r="Y804" s="11">
        <f t="shared" si="50"/>
        <v>749.70588235294144</v>
      </c>
      <c r="Z804" s="11">
        <f t="shared" si="51"/>
        <v>510.02495977065348</v>
      </c>
    </row>
    <row r="805" spans="18:26">
      <c r="R805">
        <f t="shared" si="52"/>
        <v>2019</v>
      </c>
      <c r="S805" s="10">
        <v>43588</v>
      </c>
      <c r="T805" s="2">
        <v>26</v>
      </c>
      <c r="U805" s="13">
        <v>43588</v>
      </c>
      <c r="V805" s="1">
        <v>44277.24</v>
      </c>
      <c r="X805" s="7">
        <f t="shared" si="49"/>
        <v>43588</v>
      </c>
      <c r="Y805" s="11">
        <f t="shared" si="50"/>
        <v>764.70588235294144</v>
      </c>
      <c r="Z805" s="11">
        <f t="shared" si="51"/>
        <v>502.11256505019497</v>
      </c>
    </row>
    <row r="806" spans="18:26">
      <c r="R806">
        <f t="shared" si="52"/>
        <v>2019</v>
      </c>
      <c r="S806" s="10">
        <v>43595</v>
      </c>
      <c r="T806" s="2">
        <v>26.71</v>
      </c>
      <c r="U806" s="13">
        <v>43595</v>
      </c>
      <c r="V806" s="1">
        <v>43382.34</v>
      </c>
      <c r="X806" s="7">
        <f t="shared" si="49"/>
        <v>43595</v>
      </c>
      <c r="Y806" s="11">
        <f t="shared" si="50"/>
        <v>785.58823529411791</v>
      </c>
      <c r="Z806" s="11">
        <f t="shared" si="51"/>
        <v>491.96422395071767</v>
      </c>
    </row>
    <row r="807" spans="18:26">
      <c r="R807">
        <f t="shared" si="52"/>
        <v>2019</v>
      </c>
      <c r="S807" s="10">
        <v>43602</v>
      </c>
      <c r="T807" s="2">
        <v>27.11</v>
      </c>
      <c r="U807" s="13">
        <v>43602</v>
      </c>
      <c r="V807" s="1">
        <v>43445.62</v>
      </c>
      <c r="X807" s="7">
        <f t="shared" si="49"/>
        <v>43602</v>
      </c>
      <c r="Y807" s="11">
        <f t="shared" si="50"/>
        <v>797.35294117647084</v>
      </c>
      <c r="Z807" s="11">
        <f t="shared" si="51"/>
        <v>492.68183153231899</v>
      </c>
    </row>
    <row r="808" spans="18:26">
      <c r="R808">
        <f t="shared" si="52"/>
        <v>2019</v>
      </c>
      <c r="S808" s="10">
        <v>43609</v>
      </c>
      <c r="T808" s="2">
        <v>26.66</v>
      </c>
      <c r="U808" s="13">
        <v>43609</v>
      </c>
      <c r="V808" s="1">
        <v>42617.599999999999</v>
      </c>
      <c r="X808" s="7">
        <f t="shared" si="49"/>
        <v>43609</v>
      </c>
      <c r="Y808" s="11">
        <f t="shared" si="50"/>
        <v>784.11764705882376</v>
      </c>
      <c r="Z808" s="11">
        <f t="shared" si="51"/>
        <v>483.29192271883232</v>
      </c>
    </row>
    <row r="809" spans="18:26">
      <c r="R809">
        <f t="shared" si="52"/>
        <v>2019</v>
      </c>
      <c r="S809" s="10">
        <v>43616</v>
      </c>
      <c r="T809" s="2">
        <v>27.3</v>
      </c>
      <c r="U809" s="13">
        <v>43616</v>
      </c>
      <c r="V809" s="1">
        <v>42749.16</v>
      </c>
      <c r="X809" s="7">
        <f t="shared" si="49"/>
        <v>43616</v>
      </c>
      <c r="Y809" s="11">
        <f t="shared" si="50"/>
        <v>802.94117647058852</v>
      </c>
      <c r="Z809" s="11">
        <f t="shared" si="51"/>
        <v>484.78383886035346</v>
      </c>
    </row>
    <row r="810" spans="18:26">
      <c r="R810">
        <f t="shared" si="52"/>
        <v>2019</v>
      </c>
      <c r="S810" s="10">
        <v>43623</v>
      </c>
      <c r="T810" s="2">
        <v>28.48</v>
      </c>
      <c r="U810" s="13">
        <v>43623</v>
      </c>
      <c r="V810" s="1">
        <v>43291.33</v>
      </c>
      <c r="X810" s="7">
        <f t="shared" si="49"/>
        <v>43623</v>
      </c>
      <c r="Y810" s="11">
        <f t="shared" si="50"/>
        <v>837.64705882352973</v>
      </c>
      <c r="Z810" s="11">
        <f t="shared" si="51"/>
        <v>490.93215274336109</v>
      </c>
    </row>
    <row r="811" spans="18:26">
      <c r="R811">
        <f t="shared" si="52"/>
        <v>2019</v>
      </c>
      <c r="S811" s="10">
        <v>43630</v>
      </c>
      <c r="T811" s="2">
        <v>27.21</v>
      </c>
      <c r="U811" s="13">
        <v>43630</v>
      </c>
      <c r="V811" s="1">
        <v>43130.65</v>
      </c>
      <c r="X811" s="7">
        <f t="shared" si="49"/>
        <v>43630</v>
      </c>
      <c r="Y811" s="11">
        <f t="shared" si="50"/>
        <v>800.29411764705912</v>
      </c>
      <c r="Z811" s="11">
        <f t="shared" si="51"/>
        <v>489.11001010411201</v>
      </c>
    </row>
    <row r="812" spans="18:26">
      <c r="R812">
        <f t="shared" si="52"/>
        <v>2019</v>
      </c>
      <c r="S812" s="10">
        <v>43637</v>
      </c>
      <c r="T812" s="2">
        <v>27.78</v>
      </c>
      <c r="U812" s="13">
        <v>43637</v>
      </c>
      <c r="V812" s="1">
        <v>43526.73</v>
      </c>
    </row>
    <row r="813" spans="18:26">
      <c r="R813">
        <f t="shared" si="52"/>
        <v>2019</v>
      </c>
      <c r="S813" s="10">
        <v>43644</v>
      </c>
      <c r="T813" s="2">
        <v>27.56</v>
      </c>
      <c r="U813" s="13">
        <v>43644</v>
      </c>
      <c r="V813" s="1">
        <v>43161.17</v>
      </c>
    </row>
    <row r="814" spans="18:26">
      <c r="R814">
        <f t="shared" si="52"/>
        <v>2019</v>
      </c>
      <c r="S814" s="10">
        <v>43651</v>
      </c>
      <c r="T814" s="2">
        <v>28.1</v>
      </c>
      <c r="U814" s="13">
        <v>43651</v>
      </c>
      <c r="V814" s="1">
        <v>43405.32</v>
      </c>
    </row>
    <row r="815" spans="18:26">
      <c r="R815">
        <f t="shared" si="52"/>
        <v>2019</v>
      </c>
      <c r="S815" s="10">
        <v>43658</v>
      </c>
      <c r="T815" s="2">
        <v>28.85</v>
      </c>
      <c r="U815" s="13">
        <v>43658</v>
      </c>
      <c r="V815" s="1">
        <v>42647.31</v>
      </c>
    </row>
    <row r="816" spans="18:26">
      <c r="R816">
        <f t="shared" si="52"/>
        <v>2019</v>
      </c>
      <c r="S816" s="10">
        <v>43665</v>
      </c>
      <c r="T816" s="2">
        <v>28.52</v>
      </c>
      <c r="U816" s="13">
        <v>43665</v>
      </c>
      <c r="V816" s="1">
        <v>41606.54</v>
      </c>
    </row>
    <row r="817" spans="18:22">
      <c r="R817">
        <f t="shared" si="52"/>
        <v>2019</v>
      </c>
      <c r="S817" s="10">
        <v>43672</v>
      </c>
      <c r="T817" s="2">
        <v>29.85</v>
      </c>
      <c r="U817" s="13">
        <v>43672</v>
      </c>
      <c r="V817" s="1">
        <v>40673.78</v>
      </c>
    </row>
    <row r="818" spans="18:22">
      <c r="R818">
        <f t="shared" si="52"/>
        <v>2019</v>
      </c>
      <c r="S818" s="10">
        <v>43679</v>
      </c>
      <c r="T818" s="2">
        <v>30.44</v>
      </c>
      <c r="U818" s="13">
        <v>43679</v>
      </c>
      <c r="V818" s="1">
        <v>39977.519999999997</v>
      </c>
    </row>
    <row r="819" spans="18:22">
      <c r="R819">
        <f t="shared" si="52"/>
        <v>2019</v>
      </c>
      <c r="S819" s="10">
        <v>43686</v>
      </c>
      <c r="T819" s="2">
        <v>29.65</v>
      </c>
      <c r="U819" s="13">
        <v>43686</v>
      </c>
      <c r="V819" s="1">
        <v>40421.279999999999</v>
      </c>
    </row>
    <row r="820" spans="18:22">
      <c r="R820">
        <f t="shared" si="52"/>
        <v>2019</v>
      </c>
      <c r="S820" s="10">
        <v>43693</v>
      </c>
      <c r="T820" s="2">
        <v>29.52</v>
      </c>
      <c r="U820" s="13">
        <v>43693</v>
      </c>
      <c r="V820" s="1">
        <v>39339.550000000003</v>
      </c>
    </row>
    <row r="821" spans="18:22">
      <c r="R821">
        <f t="shared" si="52"/>
        <v>2019</v>
      </c>
      <c r="S821" s="10">
        <v>43700</v>
      </c>
      <c r="T821" s="2">
        <v>30.37</v>
      </c>
      <c r="U821" s="13">
        <v>43700</v>
      </c>
      <c r="V821" s="1">
        <v>39862.07</v>
      </c>
    </row>
    <row r="822" spans="18:22">
      <c r="R822">
        <f t="shared" si="52"/>
        <v>2019</v>
      </c>
      <c r="S822" s="10">
        <v>43707</v>
      </c>
      <c r="T822" s="2">
        <v>32</v>
      </c>
      <c r="U822" s="13">
        <v>43707</v>
      </c>
      <c r="V822" s="1">
        <v>42622.5</v>
      </c>
    </row>
    <row r="823" spans="18:22">
      <c r="R823">
        <f t="shared" si="52"/>
        <v>2019</v>
      </c>
      <c r="S823" s="10">
        <v>43714</v>
      </c>
      <c r="T823" s="2">
        <v>31.99</v>
      </c>
      <c r="U823" s="13">
        <v>43714</v>
      </c>
      <c r="V823" s="1">
        <v>42707.66</v>
      </c>
    </row>
    <row r="824" spans="18:22">
      <c r="R824">
        <f t="shared" si="52"/>
        <v>2019</v>
      </c>
      <c r="S824" s="10">
        <v>43721</v>
      </c>
      <c r="T824" s="2">
        <v>30.29</v>
      </c>
      <c r="U824" s="13">
        <v>43721</v>
      </c>
      <c r="V824" s="1">
        <v>42841.46</v>
      </c>
    </row>
    <row r="825" spans="18:22">
      <c r="R825">
        <f t="shared" si="52"/>
        <v>2019</v>
      </c>
      <c r="S825" s="10">
        <v>43728</v>
      </c>
      <c r="T825" s="2">
        <v>30.78</v>
      </c>
      <c r="U825" s="13">
        <v>43728</v>
      </c>
      <c r="V825" s="1">
        <v>43559.45</v>
      </c>
    </row>
    <row r="826" spans="18:22">
      <c r="R826">
        <f t="shared" si="52"/>
        <v>2019</v>
      </c>
      <c r="S826" s="10">
        <v>43735</v>
      </c>
      <c r="T826" s="2">
        <v>30.96</v>
      </c>
      <c r="U826" s="13">
        <v>43735</v>
      </c>
      <c r="V826" s="1">
        <v>42857.58</v>
      </c>
    </row>
    <row r="827" spans="18:22">
      <c r="R827">
        <f t="shared" si="52"/>
        <v>2019</v>
      </c>
      <c r="S827" s="10">
        <v>43742</v>
      </c>
      <c r="T827" s="2">
        <v>32.24</v>
      </c>
      <c r="U827" s="13">
        <v>43742</v>
      </c>
      <c r="V827" s="1">
        <v>43416.9</v>
      </c>
    </row>
    <row r="828" spans="18:22">
      <c r="R828">
        <f t="shared" si="52"/>
        <v>2019</v>
      </c>
      <c r="S828" s="10">
        <v>43749</v>
      </c>
      <c r="T828" s="2">
        <v>31.37</v>
      </c>
      <c r="U828" s="13">
        <v>43749</v>
      </c>
      <c r="V828" s="1">
        <v>43214.59</v>
      </c>
    </row>
    <row r="829" spans="18:22">
      <c r="R829">
        <f t="shared" si="52"/>
        <v>2019</v>
      </c>
      <c r="S829" s="10">
        <v>43756</v>
      </c>
      <c r="T829" s="2">
        <v>30.5</v>
      </c>
      <c r="U829" s="13">
        <v>43756</v>
      </c>
      <c r="V829" s="1">
        <v>43178.63</v>
      </c>
    </row>
    <row r="830" spans="18:22">
      <c r="R830">
        <f t="shared" si="52"/>
        <v>2019</v>
      </c>
      <c r="S830" s="10">
        <v>43763</v>
      </c>
      <c r="T830" s="2">
        <v>30.39</v>
      </c>
      <c r="U830" s="13">
        <v>43763</v>
      </c>
      <c r="V830" s="1">
        <v>43389.16</v>
      </c>
    </row>
    <row r="831" spans="18:22">
      <c r="R831">
        <f t="shared" si="52"/>
        <v>2019</v>
      </c>
      <c r="S831" s="10">
        <v>43770</v>
      </c>
      <c r="T831" s="2">
        <v>29.98</v>
      </c>
      <c r="U831" s="13">
        <v>43770</v>
      </c>
      <c r="V831" s="1">
        <v>43814.55</v>
      </c>
    </row>
    <row r="832" spans="18:22">
      <c r="R832">
        <f t="shared" si="52"/>
        <v>2019</v>
      </c>
      <c r="S832" s="10">
        <v>43777</v>
      </c>
      <c r="T832" s="2">
        <v>30.16</v>
      </c>
      <c r="U832" s="13">
        <v>43777</v>
      </c>
      <c r="V832" s="1">
        <v>43702.23</v>
      </c>
    </row>
    <row r="833" spans="18:22">
      <c r="R833">
        <f t="shared" si="52"/>
        <v>2019</v>
      </c>
      <c r="S833" s="10">
        <v>43784</v>
      </c>
      <c r="T833" s="2">
        <v>30.35</v>
      </c>
      <c r="U833" s="13">
        <v>43784</v>
      </c>
      <c r="V833" s="1">
        <v>43392.36</v>
      </c>
    </row>
    <row r="834" spans="18:22">
      <c r="R834">
        <f t="shared" si="52"/>
        <v>2019</v>
      </c>
      <c r="S834" s="10">
        <v>43791</v>
      </c>
      <c r="T834" s="2">
        <v>30.36</v>
      </c>
      <c r="U834" s="13">
        <v>43791</v>
      </c>
      <c r="V834" s="1">
        <v>43521.86</v>
      </c>
    </row>
    <row r="835" spans="18:22">
      <c r="R835">
        <f t="shared" si="52"/>
        <v>2019</v>
      </c>
      <c r="S835" s="10">
        <v>43798</v>
      </c>
      <c r="T835" s="2">
        <v>29.53</v>
      </c>
      <c r="U835" s="13">
        <v>43798</v>
      </c>
      <c r="V835" s="1">
        <v>42820.18</v>
      </c>
    </row>
    <row r="836" spans="18:22">
      <c r="R836">
        <f t="shared" si="52"/>
        <v>2019</v>
      </c>
      <c r="S836" s="10">
        <v>43805</v>
      </c>
      <c r="T836" s="2">
        <v>30.28</v>
      </c>
      <c r="U836" s="13">
        <v>43805</v>
      </c>
      <c r="V836" s="1">
        <v>41938.69</v>
      </c>
    </row>
    <row r="837" spans="18:22">
      <c r="R837">
        <f t="shared" si="52"/>
        <v>2019</v>
      </c>
      <c r="S837" s="10">
        <v>43812</v>
      </c>
      <c r="T837" s="2">
        <v>30.43</v>
      </c>
      <c r="U837" s="13">
        <v>43812</v>
      </c>
      <c r="V837" s="1">
        <v>44254.43</v>
      </c>
    </row>
    <row r="838" spans="18:22">
      <c r="R838">
        <f t="shared" si="52"/>
        <v>2019</v>
      </c>
      <c r="S838" s="10">
        <v>43819</v>
      </c>
      <c r="T838" s="2">
        <v>30.69</v>
      </c>
      <c r="U838" s="13">
        <v>43819</v>
      </c>
      <c r="V838" s="1">
        <v>44505.64</v>
      </c>
    </row>
    <row r="839" spans="18:22">
      <c r="R839">
        <f t="shared" ref="R839:R902" si="53">+YEAR(S839)</f>
        <v>2019</v>
      </c>
      <c r="S839" s="10">
        <v>43826</v>
      </c>
      <c r="T839" s="2">
        <v>30.89</v>
      </c>
      <c r="U839" s="13">
        <v>43826</v>
      </c>
      <c r="V839" s="1">
        <v>44261.51</v>
      </c>
    </row>
    <row r="840" spans="18:22">
      <c r="R840">
        <f t="shared" si="53"/>
        <v>2020</v>
      </c>
      <c r="S840" s="10">
        <v>43833</v>
      </c>
      <c r="T840" s="2">
        <v>30.33</v>
      </c>
      <c r="U840" s="13">
        <v>43833</v>
      </c>
      <c r="V840" s="1">
        <v>44624.86</v>
      </c>
    </row>
    <row r="841" spans="18:22">
      <c r="R841">
        <f t="shared" si="53"/>
        <v>2020</v>
      </c>
      <c r="S841" s="10">
        <v>43840</v>
      </c>
      <c r="T841" s="2">
        <v>31.84</v>
      </c>
      <c r="U841" s="13">
        <v>43840</v>
      </c>
      <c r="V841" s="1">
        <v>44660.33</v>
      </c>
    </row>
    <row r="842" spans="18:22">
      <c r="R842">
        <f t="shared" si="53"/>
        <v>2020</v>
      </c>
      <c r="S842" s="10">
        <v>43847</v>
      </c>
      <c r="T842" s="2">
        <v>32.86</v>
      </c>
      <c r="U842" s="13">
        <v>43847</v>
      </c>
      <c r="V842" s="1">
        <v>45817.760000000002</v>
      </c>
    </row>
    <row r="843" spans="18:22">
      <c r="R843">
        <f t="shared" si="53"/>
        <v>2020</v>
      </c>
      <c r="S843" s="10">
        <v>43854</v>
      </c>
      <c r="T843" s="2">
        <v>31.37</v>
      </c>
      <c r="U843" s="13">
        <v>43854</v>
      </c>
      <c r="V843" s="1">
        <v>45141.62</v>
      </c>
    </row>
    <row r="844" spans="18:22">
      <c r="R844">
        <f t="shared" si="53"/>
        <v>2020</v>
      </c>
      <c r="S844" s="10">
        <v>43861</v>
      </c>
      <c r="T844" s="2">
        <v>31.05</v>
      </c>
      <c r="U844" s="13">
        <v>43861</v>
      </c>
      <c r="V844" s="1">
        <v>44108.31</v>
      </c>
    </row>
    <row r="845" spans="18:22">
      <c r="R845">
        <f t="shared" si="53"/>
        <v>2020</v>
      </c>
      <c r="S845" s="10">
        <v>43868</v>
      </c>
      <c r="T845" s="2">
        <v>30.65</v>
      </c>
      <c r="U845" s="13">
        <v>43868</v>
      </c>
      <c r="V845" s="1">
        <v>44399.33</v>
      </c>
    </row>
    <row r="846" spans="18:22">
      <c r="R846">
        <f t="shared" si="53"/>
        <v>2020</v>
      </c>
      <c r="S846" s="10">
        <v>43875</v>
      </c>
      <c r="T846" s="2">
        <v>31.36</v>
      </c>
      <c r="U846" s="13">
        <v>43875</v>
      </c>
      <c r="V846" s="1">
        <v>44999.68</v>
      </c>
    </row>
    <row r="847" spans="18:22">
      <c r="R847">
        <f t="shared" si="53"/>
        <v>2020</v>
      </c>
      <c r="S847" s="10">
        <v>43882</v>
      </c>
      <c r="T847" s="2">
        <v>30.7</v>
      </c>
      <c r="U847" s="13">
        <v>43882</v>
      </c>
      <c r="V847" s="1">
        <v>44802.54</v>
      </c>
    </row>
    <row r="848" spans="18:22">
      <c r="R848">
        <f t="shared" si="53"/>
        <v>2020</v>
      </c>
      <c r="S848" s="10">
        <v>43889</v>
      </c>
      <c r="T848" s="2">
        <v>29.69</v>
      </c>
      <c r="U848" s="13">
        <v>43889</v>
      </c>
      <c r="V848" s="1">
        <v>41324.31</v>
      </c>
    </row>
    <row r="849" spans="18:22">
      <c r="R849">
        <f t="shared" si="53"/>
        <v>2020</v>
      </c>
      <c r="S849" s="10">
        <v>43896</v>
      </c>
      <c r="T849" s="2">
        <v>30.02</v>
      </c>
      <c r="U849" s="13">
        <v>43896</v>
      </c>
      <c r="V849" s="1">
        <v>41388.78</v>
      </c>
    </row>
    <row r="850" spans="18:22">
      <c r="R850">
        <f t="shared" si="53"/>
        <v>2020</v>
      </c>
      <c r="S850" s="10">
        <v>43903</v>
      </c>
      <c r="T850" s="2">
        <v>28.3</v>
      </c>
      <c r="U850" s="13">
        <v>43903</v>
      </c>
      <c r="V850" s="1">
        <v>38085.050000000003</v>
      </c>
    </row>
    <row r="851" spans="18:22">
      <c r="R851">
        <f t="shared" si="53"/>
        <v>2020</v>
      </c>
      <c r="S851" s="10">
        <v>43910</v>
      </c>
      <c r="T851" s="2">
        <v>26.78</v>
      </c>
      <c r="U851" s="13">
        <v>43910</v>
      </c>
      <c r="V851" s="1">
        <v>34269.51</v>
      </c>
    </row>
    <row r="852" spans="18:22">
      <c r="R852">
        <f t="shared" si="53"/>
        <v>2020</v>
      </c>
      <c r="S852" s="10">
        <v>43917</v>
      </c>
      <c r="T852" s="2">
        <v>25.21</v>
      </c>
      <c r="U852" s="13">
        <v>43917</v>
      </c>
      <c r="V852" s="1">
        <v>33799.49</v>
      </c>
    </row>
    <row r="853" spans="18:22">
      <c r="R853">
        <f t="shared" si="53"/>
        <v>2020</v>
      </c>
      <c r="S853" s="10">
        <v>43924</v>
      </c>
      <c r="T853" s="2">
        <v>26.37</v>
      </c>
      <c r="U853" s="13">
        <v>43924</v>
      </c>
      <c r="V853" s="1">
        <v>33075.410000000003</v>
      </c>
    </row>
    <row r="854" spans="18:22">
      <c r="R854">
        <f t="shared" si="53"/>
        <v>2020</v>
      </c>
      <c r="S854" s="10">
        <v>43931</v>
      </c>
      <c r="T854" s="2">
        <v>28.03</v>
      </c>
      <c r="U854" s="13">
        <v>43931</v>
      </c>
      <c r="V854" s="1">
        <v>34567.79</v>
      </c>
    </row>
    <row r="855" spans="18:22">
      <c r="R855">
        <f t="shared" si="53"/>
        <v>2020</v>
      </c>
      <c r="S855" s="10">
        <v>43938</v>
      </c>
      <c r="T855" s="2">
        <v>28.15</v>
      </c>
      <c r="U855" s="13">
        <v>43938</v>
      </c>
      <c r="V855" s="1">
        <v>34743.1</v>
      </c>
    </row>
    <row r="856" spans="18:22">
      <c r="R856">
        <f t="shared" si="53"/>
        <v>2020</v>
      </c>
      <c r="S856" s="10">
        <v>43945</v>
      </c>
      <c r="T856" s="2">
        <v>27.72</v>
      </c>
      <c r="U856" s="13">
        <v>43945</v>
      </c>
      <c r="V856" s="1">
        <v>34586.82</v>
      </c>
    </row>
    <row r="857" spans="18:22">
      <c r="R857">
        <f t="shared" si="53"/>
        <v>2020</v>
      </c>
      <c r="S857" s="10">
        <v>43952</v>
      </c>
      <c r="T857" s="2">
        <v>27.43</v>
      </c>
      <c r="U857" s="13">
        <v>43952</v>
      </c>
      <c r="V857" s="1">
        <v>36470.11</v>
      </c>
    </row>
    <row r="858" spans="18:22">
      <c r="R858">
        <f t="shared" si="53"/>
        <v>2020</v>
      </c>
      <c r="S858" s="10">
        <v>43959</v>
      </c>
      <c r="T858" s="2">
        <v>27.81</v>
      </c>
      <c r="U858" s="13">
        <v>43959</v>
      </c>
      <c r="V858" s="1">
        <v>37623.68</v>
      </c>
    </row>
    <row r="859" spans="18:22">
      <c r="R859">
        <f t="shared" si="53"/>
        <v>2020</v>
      </c>
      <c r="S859" s="10">
        <v>43966</v>
      </c>
      <c r="T859" s="2">
        <v>28.36</v>
      </c>
      <c r="U859" s="13">
        <v>43966</v>
      </c>
      <c r="V859" s="1">
        <v>35691.39</v>
      </c>
    </row>
    <row r="860" spans="18:22">
      <c r="R860">
        <f t="shared" si="53"/>
        <v>2020</v>
      </c>
      <c r="S860" s="10">
        <v>43973</v>
      </c>
      <c r="T860" s="2">
        <v>26.74</v>
      </c>
      <c r="U860" s="13">
        <v>43973</v>
      </c>
      <c r="V860" s="1">
        <v>35784.42</v>
      </c>
    </row>
    <row r="861" spans="18:22">
      <c r="R861">
        <f t="shared" si="53"/>
        <v>2020</v>
      </c>
      <c r="S861" s="10">
        <v>43980</v>
      </c>
      <c r="T861" s="2">
        <v>27.74</v>
      </c>
      <c r="U861" s="13">
        <v>43980</v>
      </c>
      <c r="V861" s="1">
        <v>36122.730000000003</v>
      </c>
    </row>
    <row r="862" spans="18:22">
      <c r="R862">
        <f t="shared" si="53"/>
        <v>2020</v>
      </c>
      <c r="S862" s="10">
        <v>43987</v>
      </c>
      <c r="T862" s="2">
        <v>29.44</v>
      </c>
      <c r="U862" s="13">
        <v>43987</v>
      </c>
      <c r="V862" s="1">
        <v>38948.080000000002</v>
      </c>
    </row>
    <row r="863" spans="18:22">
      <c r="R863">
        <f t="shared" si="53"/>
        <v>2020</v>
      </c>
      <c r="S863" s="10">
        <v>43994</v>
      </c>
      <c r="T863" s="2">
        <v>27.14</v>
      </c>
      <c r="U863" s="13">
        <v>43994</v>
      </c>
      <c r="V863" s="1">
        <v>37679.24</v>
      </c>
    </row>
    <row r="864" spans="18:22">
      <c r="R864">
        <f t="shared" si="53"/>
        <v>2020</v>
      </c>
      <c r="S864" s="10">
        <v>44001</v>
      </c>
      <c r="T864" s="2">
        <v>28.04</v>
      </c>
      <c r="U864" s="13">
        <v>44001</v>
      </c>
      <c r="V864" s="1">
        <v>38404.629999999997</v>
      </c>
    </row>
    <row r="865" spans="18:22">
      <c r="R865">
        <f t="shared" si="53"/>
        <v>2020</v>
      </c>
      <c r="S865" s="10">
        <v>44008</v>
      </c>
      <c r="T865" s="2">
        <v>28.17</v>
      </c>
      <c r="U865" s="13">
        <v>44008</v>
      </c>
      <c r="V865" s="1">
        <v>37431.949999999997</v>
      </c>
    </row>
    <row r="866" spans="18:22">
      <c r="R866">
        <f t="shared" si="53"/>
        <v>2020</v>
      </c>
      <c r="S866" s="10">
        <v>44015</v>
      </c>
      <c r="T866" s="2">
        <v>29.1</v>
      </c>
      <c r="U866" s="13">
        <v>44015</v>
      </c>
      <c r="V866" s="1">
        <v>37950</v>
      </c>
    </row>
    <row r="867" spans="18:22">
      <c r="R867">
        <f t="shared" si="53"/>
        <v>2020</v>
      </c>
      <c r="S867" s="10">
        <v>44022</v>
      </c>
      <c r="T867" s="2">
        <v>28.11</v>
      </c>
      <c r="U867" s="13">
        <v>44022</v>
      </c>
      <c r="V867" s="1">
        <v>36465.46</v>
      </c>
    </row>
    <row r="868" spans="18:22">
      <c r="R868">
        <f t="shared" si="53"/>
        <v>2020</v>
      </c>
      <c r="S868" s="10">
        <v>44029</v>
      </c>
      <c r="T868" s="2">
        <v>27.88</v>
      </c>
      <c r="U868" s="13">
        <v>44029</v>
      </c>
      <c r="V868" s="1">
        <v>36327.839999999997</v>
      </c>
    </row>
    <row r="869" spans="18:22">
      <c r="R869">
        <f t="shared" si="53"/>
        <v>2020</v>
      </c>
      <c r="S869" s="10">
        <v>44036</v>
      </c>
      <c r="T869" s="2">
        <v>28.75</v>
      </c>
      <c r="U869" s="13">
        <v>44036</v>
      </c>
      <c r="V869" s="1">
        <v>37357.46</v>
      </c>
    </row>
    <row r="870" spans="18:22">
      <c r="R870">
        <f t="shared" si="53"/>
        <v>2020</v>
      </c>
      <c r="S870" s="10">
        <v>44043</v>
      </c>
      <c r="T870" s="2">
        <v>29.69</v>
      </c>
      <c r="U870" s="13">
        <v>44043</v>
      </c>
      <c r="V870" s="1">
        <v>37019.68</v>
      </c>
    </row>
    <row r="871" spans="18:22">
      <c r="R871">
        <f t="shared" si="53"/>
        <v>2020</v>
      </c>
      <c r="S871" s="10">
        <v>44050</v>
      </c>
      <c r="T871" s="2">
        <v>29.21</v>
      </c>
      <c r="U871" s="13">
        <v>44050</v>
      </c>
      <c r="V871" s="1">
        <v>38005</v>
      </c>
    </row>
    <row r="872" spans="18:22">
      <c r="R872">
        <f t="shared" si="53"/>
        <v>2020</v>
      </c>
      <c r="S872" s="10">
        <v>44057</v>
      </c>
      <c r="T872" s="2">
        <v>30.3</v>
      </c>
      <c r="U872" s="13">
        <v>44057</v>
      </c>
      <c r="V872" s="1">
        <v>38949.879999999997</v>
      </c>
    </row>
    <row r="873" spans="18:22">
      <c r="R873">
        <f t="shared" si="53"/>
        <v>2020</v>
      </c>
      <c r="S873" s="10">
        <v>44064</v>
      </c>
      <c r="T873" s="2">
        <v>30.76</v>
      </c>
      <c r="U873" s="13">
        <v>44064</v>
      </c>
      <c r="V873" s="1">
        <v>38095.879999999997</v>
      </c>
    </row>
    <row r="874" spans="18:22">
      <c r="R874">
        <f t="shared" si="53"/>
        <v>2020</v>
      </c>
      <c r="S874" s="10">
        <v>44071</v>
      </c>
      <c r="T874" s="2">
        <v>29.06</v>
      </c>
      <c r="U874" s="13">
        <v>44071</v>
      </c>
      <c r="V874" s="1">
        <v>37794.25</v>
      </c>
    </row>
    <row r="875" spans="18:22">
      <c r="R875">
        <f t="shared" si="53"/>
        <v>2020</v>
      </c>
      <c r="S875" s="10">
        <v>44078</v>
      </c>
      <c r="T875" s="2">
        <v>28.51</v>
      </c>
      <c r="U875" s="13">
        <v>44078</v>
      </c>
      <c r="V875" s="1">
        <v>36448.5</v>
      </c>
    </row>
    <row r="876" spans="18:22">
      <c r="R876">
        <f t="shared" si="53"/>
        <v>2020</v>
      </c>
      <c r="S876" s="10">
        <v>44085</v>
      </c>
      <c r="T876" s="2">
        <v>29.33</v>
      </c>
      <c r="U876" s="13">
        <v>44085</v>
      </c>
      <c r="V876" s="1">
        <v>36334.89</v>
      </c>
    </row>
    <row r="877" spans="18:22">
      <c r="R877">
        <f t="shared" si="53"/>
        <v>2020</v>
      </c>
      <c r="S877" s="10">
        <v>44092</v>
      </c>
      <c r="T877" s="2">
        <v>27.86</v>
      </c>
      <c r="U877" s="13">
        <v>44092</v>
      </c>
      <c r="V877" s="1">
        <v>36017.35</v>
      </c>
    </row>
    <row r="878" spans="18:22">
      <c r="R878">
        <f t="shared" si="53"/>
        <v>2020</v>
      </c>
      <c r="S878" s="10">
        <v>44099</v>
      </c>
      <c r="T878" s="2">
        <v>28.19</v>
      </c>
      <c r="U878" s="13">
        <v>44099</v>
      </c>
      <c r="V878" s="1">
        <v>36583.71</v>
      </c>
    </row>
    <row r="879" spans="18:22">
      <c r="R879">
        <f t="shared" si="53"/>
        <v>2020</v>
      </c>
      <c r="S879" s="10">
        <v>44106</v>
      </c>
      <c r="T879" s="2">
        <v>28.12</v>
      </c>
      <c r="U879" s="13">
        <v>44106</v>
      </c>
      <c r="V879" s="1">
        <v>36642.379999999997</v>
      </c>
    </row>
    <row r="880" spans="18:22">
      <c r="R880">
        <f t="shared" si="53"/>
        <v>2020</v>
      </c>
      <c r="S880" s="10">
        <v>44113</v>
      </c>
      <c r="T880" s="2">
        <v>28.51</v>
      </c>
      <c r="U880" s="13">
        <v>44113</v>
      </c>
      <c r="V880" s="1">
        <v>38494.400000000001</v>
      </c>
    </row>
    <row r="881" spans="18:22">
      <c r="R881">
        <f t="shared" si="53"/>
        <v>2020</v>
      </c>
      <c r="S881" s="10">
        <v>44120</v>
      </c>
      <c r="T881" s="2">
        <v>28.07</v>
      </c>
      <c r="U881" s="13">
        <v>44120</v>
      </c>
      <c r="V881" s="1">
        <v>37876.49</v>
      </c>
    </row>
    <row r="882" spans="18:22">
      <c r="R882">
        <f t="shared" si="53"/>
        <v>2020</v>
      </c>
      <c r="S882" s="10">
        <v>44127</v>
      </c>
      <c r="T882" s="2">
        <v>27.58</v>
      </c>
      <c r="U882" s="13">
        <v>44127</v>
      </c>
      <c r="V882" s="1">
        <v>38707.72</v>
      </c>
    </row>
    <row r="883" spans="18:22">
      <c r="R883">
        <f t="shared" si="53"/>
        <v>2020</v>
      </c>
      <c r="S883" s="10">
        <v>44134</v>
      </c>
      <c r="T883" s="2">
        <v>26</v>
      </c>
      <c r="U883" s="13">
        <v>44134</v>
      </c>
      <c r="V883" s="1">
        <v>36987.86</v>
      </c>
    </row>
    <row r="884" spans="18:22">
      <c r="R884">
        <f t="shared" si="53"/>
        <v>2020</v>
      </c>
      <c r="S884" s="10">
        <v>44141</v>
      </c>
      <c r="T884" s="2">
        <v>26.24</v>
      </c>
      <c r="U884" s="13">
        <v>44141</v>
      </c>
      <c r="V884" s="1">
        <v>38530.5</v>
      </c>
    </row>
    <row r="885" spans="18:22">
      <c r="R885">
        <f t="shared" si="53"/>
        <v>2020</v>
      </c>
      <c r="S885" s="10">
        <v>44148</v>
      </c>
      <c r="T885" s="2">
        <v>26.85</v>
      </c>
      <c r="U885" s="13">
        <v>44148</v>
      </c>
      <c r="V885" s="1">
        <v>40791.81</v>
      </c>
    </row>
    <row r="886" spans="18:22">
      <c r="R886">
        <f t="shared" si="53"/>
        <v>2020</v>
      </c>
      <c r="S886" s="10">
        <v>44155</v>
      </c>
      <c r="T886" s="2">
        <v>27.82</v>
      </c>
      <c r="U886" s="13">
        <v>44155</v>
      </c>
      <c r="V886" s="1">
        <v>41905.06</v>
      </c>
    </row>
    <row r="887" spans="18:22">
      <c r="R887">
        <f t="shared" si="53"/>
        <v>2020</v>
      </c>
      <c r="S887" s="10">
        <v>44162</v>
      </c>
      <c r="T887" s="2">
        <v>27.41</v>
      </c>
      <c r="U887" s="13">
        <v>44162</v>
      </c>
      <c r="V887" s="1">
        <v>41674.300000000003</v>
      </c>
    </row>
    <row r="888" spans="18:22">
      <c r="R888">
        <f t="shared" si="53"/>
        <v>2020</v>
      </c>
      <c r="S888" s="10">
        <v>44169</v>
      </c>
      <c r="T888" s="2">
        <v>28.1</v>
      </c>
      <c r="U888" s="13">
        <v>44169</v>
      </c>
      <c r="V888" s="1">
        <v>43646.03</v>
      </c>
    </row>
    <row r="889" spans="18:22">
      <c r="R889">
        <f t="shared" si="53"/>
        <v>2020</v>
      </c>
      <c r="S889" s="10">
        <v>44176</v>
      </c>
      <c r="T889" s="2">
        <v>27.36</v>
      </c>
      <c r="U889" s="13">
        <v>44176</v>
      </c>
      <c r="V889" s="1">
        <v>43612.31</v>
      </c>
    </row>
    <row r="890" spans="18:22">
      <c r="R890">
        <f t="shared" si="53"/>
        <v>2020</v>
      </c>
      <c r="S890" s="10">
        <v>44183</v>
      </c>
      <c r="T890" s="2">
        <v>27.39</v>
      </c>
      <c r="U890" s="13">
        <v>44183</v>
      </c>
      <c r="V890" s="1">
        <v>43873.81</v>
      </c>
    </row>
    <row r="891" spans="18:22">
      <c r="R891">
        <f t="shared" si="53"/>
        <v>2020</v>
      </c>
      <c r="S891" s="10">
        <v>44190</v>
      </c>
      <c r="T891" s="2">
        <v>27.51</v>
      </c>
      <c r="U891" s="13">
        <v>44190</v>
      </c>
      <c r="V891" s="1">
        <v>43372.2</v>
      </c>
    </row>
    <row r="892" spans="18:22">
      <c r="R892">
        <f t="shared" si="53"/>
        <v>2021</v>
      </c>
      <c r="S892" s="10">
        <v>44197</v>
      </c>
      <c r="T892" s="2">
        <v>28.38</v>
      </c>
      <c r="U892" s="13">
        <v>44197</v>
      </c>
      <c r="V892" s="1">
        <v>44066.879999999997</v>
      </c>
    </row>
    <row r="893" spans="18:22">
      <c r="R893">
        <f t="shared" si="53"/>
        <v>2021</v>
      </c>
      <c r="S893" s="10">
        <v>44204</v>
      </c>
      <c r="T893" s="2">
        <v>29.9</v>
      </c>
      <c r="U893" s="13">
        <v>44204</v>
      </c>
      <c r="V893" s="1">
        <v>46729.3</v>
      </c>
    </row>
    <row r="894" spans="18:22">
      <c r="R894">
        <f t="shared" si="53"/>
        <v>2021</v>
      </c>
      <c r="S894" s="10">
        <v>44211</v>
      </c>
      <c r="T894" s="2">
        <v>29.39</v>
      </c>
      <c r="U894" s="13">
        <v>44211</v>
      </c>
      <c r="V894" s="1">
        <v>45892.28</v>
      </c>
    </row>
    <row r="895" spans="18:22">
      <c r="R895">
        <f t="shared" si="53"/>
        <v>2021</v>
      </c>
      <c r="S895" s="10">
        <v>44218</v>
      </c>
      <c r="T895" s="2">
        <v>29.91</v>
      </c>
      <c r="U895" s="13">
        <v>44218</v>
      </c>
      <c r="V895" s="1">
        <v>44683.55</v>
      </c>
    </row>
    <row r="896" spans="18:22">
      <c r="R896">
        <f t="shared" si="53"/>
        <v>2021</v>
      </c>
      <c r="S896" s="10">
        <v>44225</v>
      </c>
      <c r="T896" s="2">
        <v>29.9</v>
      </c>
      <c r="U896" s="13">
        <v>44225</v>
      </c>
      <c r="V896" s="1">
        <v>42985.73</v>
      </c>
    </row>
    <row r="897" spans="18:22">
      <c r="R897">
        <f t="shared" si="53"/>
        <v>2021</v>
      </c>
      <c r="S897" s="10">
        <v>44232</v>
      </c>
      <c r="T897" s="2">
        <v>29.27</v>
      </c>
      <c r="U897" s="13">
        <v>44232</v>
      </c>
      <c r="V897" s="1">
        <v>44145.7</v>
      </c>
    </row>
    <row r="898" spans="18:22">
      <c r="R898">
        <f t="shared" si="53"/>
        <v>2021</v>
      </c>
      <c r="S898" s="10">
        <v>44239</v>
      </c>
      <c r="T898" s="2">
        <v>29.67</v>
      </c>
      <c r="U898" s="13">
        <v>44239</v>
      </c>
      <c r="V898" s="1">
        <v>44202.52</v>
      </c>
    </row>
    <row r="899" spans="18:22">
      <c r="R899">
        <f t="shared" si="53"/>
        <v>2021</v>
      </c>
      <c r="S899" s="10">
        <v>44246</v>
      </c>
      <c r="T899" s="2">
        <v>29.06</v>
      </c>
      <c r="U899" s="13">
        <v>44246</v>
      </c>
      <c r="V899" s="1">
        <v>44900.08</v>
      </c>
    </row>
    <row r="900" spans="18:22">
      <c r="R900">
        <f t="shared" si="53"/>
        <v>2021</v>
      </c>
      <c r="S900" s="10">
        <v>44253</v>
      </c>
      <c r="T900" s="2">
        <v>27.93</v>
      </c>
      <c r="U900" s="13">
        <v>44253</v>
      </c>
      <c r="V900" s="1">
        <v>44592.91</v>
      </c>
    </row>
    <row r="901" spans="18:22">
      <c r="R901">
        <f t="shared" si="53"/>
        <v>2021</v>
      </c>
      <c r="S901" s="10">
        <v>44260</v>
      </c>
      <c r="T901" s="2">
        <v>29.21</v>
      </c>
      <c r="U901" s="13">
        <v>44260</v>
      </c>
      <c r="V901" s="1">
        <v>46342.54</v>
      </c>
    </row>
    <row r="902" spans="18:22">
      <c r="R902">
        <f t="shared" si="53"/>
        <v>2021</v>
      </c>
      <c r="S902" s="10">
        <v>44267</v>
      </c>
      <c r="T902" s="2">
        <v>28.69</v>
      </c>
      <c r="U902" s="13">
        <v>44267</v>
      </c>
      <c r="V902" s="1">
        <v>47769.87</v>
      </c>
    </row>
    <row r="903" spans="18:22">
      <c r="R903">
        <f t="shared" ref="R903:R966" si="54">+YEAR(S903)</f>
        <v>2021</v>
      </c>
      <c r="S903" s="10">
        <v>44274</v>
      </c>
      <c r="T903" s="2">
        <v>29.76</v>
      </c>
      <c r="U903" s="13">
        <v>44274</v>
      </c>
      <c r="V903" s="1">
        <v>47028.04</v>
      </c>
    </row>
    <row r="904" spans="18:22">
      <c r="R904">
        <f t="shared" si="54"/>
        <v>2021</v>
      </c>
      <c r="S904" s="10">
        <v>44281</v>
      </c>
      <c r="T904" s="2">
        <v>28.75</v>
      </c>
      <c r="U904" s="13">
        <v>44281</v>
      </c>
      <c r="V904" s="1">
        <v>47379.19</v>
      </c>
    </row>
    <row r="905" spans="18:22">
      <c r="R905">
        <f t="shared" si="54"/>
        <v>2021</v>
      </c>
      <c r="S905" s="10">
        <v>44288</v>
      </c>
      <c r="T905" s="2">
        <v>29.16</v>
      </c>
      <c r="U905" s="13">
        <v>44288</v>
      </c>
      <c r="V905" s="1">
        <v>47246.26</v>
      </c>
    </row>
    <row r="906" spans="18:22">
      <c r="R906">
        <f t="shared" si="54"/>
        <v>2021</v>
      </c>
      <c r="S906" s="10">
        <v>44295</v>
      </c>
      <c r="T906" s="2">
        <v>29.46</v>
      </c>
      <c r="U906" s="13">
        <v>44295</v>
      </c>
      <c r="V906" s="1">
        <v>47627.67</v>
      </c>
    </row>
    <row r="907" spans="18:22">
      <c r="R907">
        <f t="shared" si="54"/>
        <v>2021</v>
      </c>
      <c r="S907" s="10">
        <v>44302</v>
      </c>
      <c r="T907" s="2">
        <v>30.43</v>
      </c>
      <c r="U907" s="13">
        <v>44302</v>
      </c>
      <c r="V907" s="1">
        <v>48726.98</v>
      </c>
    </row>
    <row r="908" spans="18:22">
      <c r="R908">
        <f t="shared" si="54"/>
        <v>2021</v>
      </c>
      <c r="S908" s="10">
        <v>44309</v>
      </c>
      <c r="T908" s="2">
        <v>31.8</v>
      </c>
      <c r="U908" s="13">
        <v>44309</v>
      </c>
      <c r="V908" s="1">
        <v>49091.09</v>
      </c>
    </row>
    <row r="909" spans="18:22">
      <c r="R909">
        <f t="shared" si="54"/>
        <v>2021</v>
      </c>
      <c r="S909" s="10">
        <v>44316</v>
      </c>
      <c r="T909" s="2">
        <v>29.59</v>
      </c>
      <c r="U909" s="13">
        <v>44316</v>
      </c>
      <c r="V909" s="1">
        <v>48009.72</v>
      </c>
    </row>
    <row r="910" spans="18:22">
      <c r="R910">
        <f t="shared" si="54"/>
        <v>2021</v>
      </c>
      <c r="S910" s="10">
        <v>44323</v>
      </c>
      <c r="T910" s="2">
        <v>29.7</v>
      </c>
      <c r="U910" s="13">
        <v>44323</v>
      </c>
      <c r="V910" s="1">
        <v>49249.02</v>
      </c>
    </row>
    <row r="911" spans="18:22">
      <c r="R911">
        <f t="shared" si="54"/>
        <v>2021</v>
      </c>
      <c r="S911" s="10">
        <v>44330</v>
      </c>
      <c r="T911" s="2">
        <v>29.72</v>
      </c>
      <c r="U911" s="13">
        <v>44330</v>
      </c>
      <c r="V911" s="1">
        <v>49219.26</v>
      </c>
    </row>
    <row r="912" spans="18:22">
      <c r="R912">
        <f t="shared" si="54"/>
        <v>2021</v>
      </c>
      <c r="S912" s="10">
        <v>44337</v>
      </c>
      <c r="T912" s="2">
        <v>29.93</v>
      </c>
      <c r="U912" s="13">
        <v>44337</v>
      </c>
      <c r="V912" s="1">
        <v>49778.82</v>
      </c>
    </row>
    <row r="913" spans="18:22">
      <c r="R913">
        <f t="shared" si="54"/>
        <v>2021</v>
      </c>
      <c r="S913" s="10">
        <v>44344</v>
      </c>
      <c r="T913" s="2">
        <v>30.39</v>
      </c>
      <c r="U913" s="13">
        <v>44344</v>
      </c>
      <c r="V913" s="1">
        <v>50040.74</v>
      </c>
    </row>
    <row r="914" spans="18:22">
      <c r="R914">
        <f t="shared" si="54"/>
        <v>2021</v>
      </c>
      <c r="S914" s="10">
        <v>44351</v>
      </c>
      <c r="T914" s="2">
        <v>30.24</v>
      </c>
      <c r="U914" s="13">
        <v>44351</v>
      </c>
      <c r="V914" s="1">
        <v>50484.35</v>
      </c>
    </row>
    <row r="915" spans="18:22">
      <c r="R915">
        <f t="shared" si="54"/>
        <v>2021</v>
      </c>
      <c r="S915" s="10">
        <v>44358</v>
      </c>
      <c r="T915" s="2">
        <v>31.34</v>
      </c>
      <c r="U915" s="13">
        <v>44358</v>
      </c>
      <c r="V915" s="1">
        <v>51286.46</v>
      </c>
    </row>
    <row r="916" spans="18:22">
      <c r="R916">
        <f t="shared" si="54"/>
        <v>2021</v>
      </c>
      <c r="S916" s="10">
        <v>44365</v>
      </c>
      <c r="T916" s="2">
        <v>30.19</v>
      </c>
      <c r="U916" s="13">
        <v>44365</v>
      </c>
      <c r="V916" s="1">
        <v>50319.57</v>
      </c>
    </row>
    <row r="917" spans="18:22">
      <c r="R917">
        <f t="shared" si="54"/>
        <v>2021</v>
      </c>
      <c r="S917" s="10">
        <v>44372</v>
      </c>
      <c r="T917" s="2">
        <v>29.78</v>
      </c>
      <c r="U917" s="13">
        <v>44372</v>
      </c>
      <c r="V917" s="1">
        <v>50549.86</v>
      </c>
    </row>
    <row r="918" spans="18:22">
      <c r="R918">
        <f t="shared" si="54"/>
        <v>2021</v>
      </c>
      <c r="S918" s="10">
        <v>44379</v>
      </c>
      <c r="T918" s="2">
        <v>29.97</v>
      </c>
      <c r="U918" s="13">
        <v>44379</v>
      </c>
      <c r="V918" s="1">
        <v>50223.01</v>
      </c>
    </row>
    <row r="919" spans="18:22">
      <c r="R919">
        <f t="shared" si="54"/>
        <v>2021</v>
      </c>
      <c r="S919" s="10">
        <v>44386</v>
      </c>
      <c r="T919" s="2">
        <v>29.35</v>
      </c>
      <c r="U919" s="13">
        <v>44386</v>
      </c>
      <c r="V919" s="1">
        <v>49768.35</v>
      </c>
    </row>
    <row r="920" spans="18:22">
      <c r="R920">
        <f t="shared" si="54"/>
        <v>2021</v>
      </c>
      <c r="S920" s="10">
        <v>44393</v>
      </c>
      <c r="T920" s="2">
        <v>28.41</v>
      </c>
      <c r="U920" s="13">
        <v>44393</v>
      </c>
      <c r="V920" s="1">
        <v>50148.13</v>
      </c>
    </row>
    <row r="921" spans="18:22">
      <c r="R921">
        <f t="shared" si="54"/>
        <v>2021</v>
      </c>
      <c r="S921" s="10">
        <v>44400</v>
      </c>
      <c r="T921" s="2">
        <v>28.09</v>
      </c>
      <c r="U921" s="13">
        <v>44400</v>
      </c>
      <c r="V921" s="1">
        <v>50268.45</v>
      </c>
    </row>
    <row r="922" spans="18:22">
      <c r="R922">
        <f t="shared" si="54"/>
        <v>2021</v>
      </c>
      <c r="S922" s="10">
        <v>44407</v>
      </c>
      <c r="T922" s="2">
        <v>27.58</v>
      </c>
      <c r="U922" s="13">
        <v>44407</v>
      </c>
      <c r="V922" s="1">
        <v>50868.32</v>
      </c>
    </row>
    <row r="923" spans="18:22">
      <c r="R923">
        <f t="shared" si="54"/>
        <v>2021</v>
      </c>
      <c r="S923" s="10">
        <v>44414</v>
      </c>
      <c r="T923" s="2">
        <v>27.09</v>
      </c>
      <c r="U923" s="13">
        <v>44414</v>
      </c>
      <c r="V923" s="1">
        <v>51113.85</v>
      </c>
    </row>
    <row r="924" spans="18:22">
      <c r="R924">
        <f t="shared" si="54"/>
        <v>2021</v>
      </c>
      <c r="S924" s="10">
        <v>44421</v>
      </c>
      <c r="T924" s="2">
        <v>27.51</v>
      </c>
      <c r="U924" s="13">
        <v>44421</v>
      </c>
      <c r="V924" s="1">
        <v>51490.94</v>
      </c>
    </row>
    <row r="925" spans="18:22">
      <c r="R925">
        <f t="shared" si="54"/>
        <v>2021</v>
      </c>
      <c r="S925" s="10">
        <v>44428</v>
      </c>
      <c r="T925" s="2">
        <v>29.07</v>
      </c>
      <c r="U925" s="13">
        <v>44428</v>
      </c>
      <c r="V925" s="1">
        <v>51414.32</v>
      </c>
    </row>
    <row r="926" spans="18:22">
      <c r="R926">
        <f t="shared" si="54"/>
        <v>2021</v>
      </c>
      <c r="S926" s="10">
        <v>44435</v>
      </c>
      <c r="T926" s="2">
        <v>29.52</v>
      </c>
      <c r="U926" s="13">
        <v>44435</v>
      </c>
      <c r="V926" s="1">
        <v>52425.64</v>
      </c>
    </row>
    <row r="927" spans="18:22">
      <c r="R927">
        <f t="shared" si="54"/>
        <v>2021</v>
      </c>
      <c r="S927" s="10">
        <v>44442</v>
      </c>
      <c r="T927" s="2">
        <v>29.27</v>
      </c>
      <c r="U927" s="13">
        <v>44442</v>
      </c>
      <c r="V927" s="1">
        <v>51835.09</v>
      </c>
    </row>
    <row r="928" spans="18:22">
      <c r="R928">
        <f t="shared" si="54"/>
        <v>2021</v>
      </c>
      <c r="S928" s="10">
        <v>44449</v>
      </c>
      <c r="T928" s="2">
        <v>29.11</v>
      </c>
      <c r="U928" s="13">
        <v>44449</v>
      </c>
      <c r="V928" s="1">
        <v>51521.8</v>
      </c>
    </row>
    <row r="929" spans="18:22">
      <c r="R929">
        <f t="shared" si="54"/>
        <v>2021</v>
      </c>
      <c r="S929" s="10">
        <v>44456</v>
      </c>
      <c r="T929" s="2">
        <v>31.9</v>
      </c>
      <c r="U929" s="13">
        <v>44456</v>
      </c>
      <c r="V929" s="1">
        <v>51307.71</v>
      </c>
    </row>
    <row r="930" spans="18:22">
      <c r="R930">
        <f t="shared" si="54"/>
        <v>2021</v>
      </c>
      <c r="S930" s="10">
        <v>44463</v>
      </c>
      <c r="T930" s="2">
        <v>28.72</v>
      </c>
      <c r="U930" s="13">
        <v>44463</v>
      </c>
      <c r="V930" s="1">
        <v>51105.71</v>
      </c>
    </row>
    <row r="931" spans="18:22">
      <c r="R931">
        <f t="shared" si="54"/>
        <v>2021</v>
      </c>
      <c r="S931" s="10">
        <v>44470</v>
      </c>
      <c r="T931" s="2">
        <v>28.81</v>
      </c>
      <c r="U931" s="13">
        <v>44470</v>
      </c>
      <c r="V931" s="1">
        <v>51060.05</v>
      </c>
    </row>
    <row r="932" spans="18:22">
      <c r="R932">
        <f t="shared" si="54"/>
        <v>2021</v>
      </c>
      <c r="S932" s="10">
        <v>44477</v>
      </c>
      <c r="T932" s="2">
        <v>28.2</v>
      </c>
      <c r="U932" s="13">
        <v>44477</v>
      </c>
      <c r="V932" s="1">
        <v>51136.63</v>
      </c>
    </row>
    <row r="933" spans="18:22">
      <c r="R933">
        <f t="shared" si="54"/>
        <v>2021</v>
      </c>
      <c r="S933" s="10">
        <v>44484</v>
      </c>
      <c r="T933" s="2">
        <v>28.68</v>
      </c>
      <c r="U933" s="13">
        <v>44484</v>
      </c>
      <c r="V933" s="1">
        <v>52798.38</v>
      </c>
    </row>
    <row r="934" spans="18:22">
      <c r="R934">
        <f t="shared" si="54"/>
        <v>2021</v>
      </c>
      <c r="S934" s="10">
        <v>44491</v>
      </c>
      <c r="T934" s="2">
        <v>28.59</v>
      </c>
      <c r="U934" s="13">
        <v>44491</v>
      </c>
      <c r="V934" s="1">
        <v>51889.66</v>
      </c>
    </row>
    <row r="935" spans="18:22">
      <c r="R935">
        <f t="shared" si="54"/>
        <v>2021</v>
      </c>
      <c r="S935" s="10">
        <v>44498</v>
      </c>
      <c r="T935" s="2">
        <v>28.23</v>
      </c>
      <c r="U935" s="13">
        <v>44498</v>
      </c>
      <c r="V935" s="1">
        <v>51309.84</v>
      </c>
    </row>
    <row r="936" spans="18:22">
      <c r="R936">
        <f t="shared" si="54"/>
        <v>2021</v>
      </c>
      <c r="S936" s="10">
        <v>44505</v>
      </c>
      <c r="T936" s="2">
        <v>28.04</v>
      </c>
      <c r="U936" s="13">
        <v>44505</v>
      </c>
      <c r="V936" s="1">
        <v>51977.96</v>
      </c>
    </row>
    <row r="937" spans="18:22">
      <c r="R937">
        <f t="shared" si="54"/>
        <v>2021</v>
      </c>
      <c r="S937" s="10">
        <v>44512</v>
      </c>
      <c r="T937" s="2">
        <v>27.46</v>
      </c>
      <c r="U937" s="13">
        <v>44512</v>
      </c>
      <c r="V937" s="1">
        <v>51432.54</v>
      </c>
    </row>
    <row r="938" spans="18:22">
      <c r="R938">
        <f t="shared" si="54"/>
        <v>2021</v>
      </c>
      <c r="S938" s="10">
        <v>44519</v>
      </c>
      <c r="T938" s="2">
        <v>27.16</v>
      </c>
      <c r="U938" s="13">
        <v>44519</v>
      </c>
      <c r="V938" s="1">
        <v>50811.3</v>
      </c>
    </row>
    <row r="939" spans="18:22">
      <c r="R939">
        <f t="shared" si="54"/>
        <v>2021</v>
      </c>
      <c r="S939" s="10">
        <v>44526</v>
      </c>
      <c r="T939" s="2">
        <v>27.94</v>
      </c>
      <c r="U939" s="13">
        <v>44526</v>
      </c>
      <c r="V939" s="1">
        <v>49492.52</v>
      </c>
    </row>
    <row r="940" spans="18:22">
      <c r="R940">
        <f t="shared" si="54"/>
        <v>2021</v>
      </c>
      <c r="S940" s="10">
        <v>44533</v>
      </c>
      <c r="T940" s="2">
        <v>28.34</v>
      </c>
      <c r="U940" s="13">
        <v>44533</v>
      </c>
      <c r="V940" s="1">
        <v>50597.29</v>
      </c>
    </row>
    <row r="941" spans="18:22">
      <c r="R941">
        <f t="shared" si="54"/>
        <v>2021</v>
      </c>
      <c r="S941" s="10">
        <v>44540</v>
      </c>
      <c r="T941" s="2">
        <v>26.93</v>
      </c>
      <c r="U941" s="13">
        <v>44540</v>
      </c>
      <c r="V941" s="1">
        <v>51213.48</v>
      </c>
    </row>
    <row r="942" spans="18:22">
      <c r="R942">
        <f t="shared" si="54"/>
        <v>2021</v>
      </c>
      <c r="S942" s="10">
        <v>44547</v>
      </c>
      <c r="T942" s="2">
        <v>25.83</v>
      </c>
      <c r="U942" s="13">
        <v>44547</v>
      </c>
      <c r="V942" s="1">
        <v>52379.37</v>
      </c>
    </row>
    <row r="943" spans="18:22">
      <c r="R943">
        <f t="shared" si="54"/>
        <v>2021</v>
      </c>
      <c r="S943" s="10">
        <v>44554</v>
      </c>
      <c r="T943" s="2">
        <v>27.48</v>
      </c>
      <c r="U943" s="13">
        <v>44554</v>
      </c>
      <c r="V943" s="1">
        <v>52853.38</v>
      </c>
    </row>
    <row r="944" spans="18:22">
      <c r="R944">
        <f t="shared" si="54"/>
        <v>2021</v>
      </c>
      <c r="S944" s="10">
        <v>44561</v>
      </c>
      <c r="T944" s="2">
        <v>27.23</v>
      </c>
      <c r="U944" s="13">
        <v>44561</v>
      </c>
      <c r="V944" s="1">
        <v>53272.43</v>
      </c>
    </row>
    <row r="945" spans="18:22">
      <c r="R945">
        <f t="shared" si="54"/>
        <v>2022</v>
      </c>
      <c r="S945" s="10">
        <v>44568</v>
      </c>
      <c r="T945" s="2">
        <v>27.89</v>
      </c>
      <c r="U945" s="13">
        <v>44568</v>
      </c>
      <c r="V945" s="1">
        <v>53202.11</v>
      </c>
    </row>
    <row r="946" spans="18:22">
      <c r="R946">
        <f t="shared" si="54"/>
        <v>2022</v>
      </c>
      <c r="S946" s="10">
        <v>44575</v>
      </c>
      <c r="T946" s="2">
        <v>26.78</v>
      </c>
      <c r="U946" s="13">
        <v>44575</v>
      </c>
      <c r="V946" s="1">
        <v>53744.93</v>
      </c>
    </row>
    <row r="947" spans="18:22">
      <c r="R947">
        <f t="shared" si="54"/>
        <v>2022</v>
      </c>
      <c r="S947" s="10">
        <v>44582</v>
      </c>
      <c r="T947" s="2">
        <v>26.01</v>
      </c>
      <c r="U947" s="13">
        <v>44582</v>
      </c>
      <c r="V947" s="1">
        <v>51599.38</v>
      </c>
    </row>
    <row r="948" spans="18:22">
      <c r="R948">
        <f t="shared" si="54"/>
        <v>2022</v>
      </c>
      <c r="S948" s="10">
        <v>44589</v>
      </c>
      <c r="T948" s="2">
        <v>25.97</v>
      </c>
      <c r="U948" s="13">
        <v>44589</v>
      </c>
      <c r="V948" s="1">
        <v>50661.86</v>
      </c>
    </row>
    <row r="949" spans="18:22">
      <c r="R949">
        <f t="shared" si="54"/>
        <v>2022</v>
      </c>
      <c r="S949" s="10">
        <v>44596</v>
      </c>
      <c r="T949" s="2">
        <v>25.99</v>
      </c>
      <c r="U949" s="13">
        <v>44596</v>
      </c>
      <c r="V949" s="1">
        <v>51255.31</v>
      </c>
    </row>
    <row r="950" spans="18:22">
      <c r="R950">
        <f t="shared" si="54"/>
        <v>2022</v>
      </c>
      <c r="S950" s="10">
        <v>44603</v>
      </c>
      <c r="T950" s="2">
        <v>26.97</v>
      </c>
      <c r="U950" s="13">
        <v>44603</v>
      </c>
      <c r="V950" s="1">
        <v>53229.26</v>
      </c>
    </row>
    <row r="951" spans="18:22">
      <c r="R951">
        <f t="shared" si="54"/>
        <v>2022</v>
      </c>
      <c r="S951" s="10">
        <v>44610</v>
      </c>
      <c r="T951" s="2">
        <v>26.51</v>
      </c>
      <c r="U951" s="13">
        <v>44610</v>
      </c>
      <c r="V951" s="1">
        <v>52281.54</v>
      </c>
    </row>
    <row r="952" spans="18:22">
      <c r="R952">
        <f t="shared" si="54"/>
        <v>2022</v>
      </c>
      <c r="S952" s="10">
        <v>44617</v>
      </c>
      <c r="T952" s="2">
        <v>24.97</v>
      </c>
      <c r="U952" s="13">
        <v>44617</v>
      </c>
      <c r="V952" s="1">
        <v>52555.6</v>
      </c>
    </row>
    <row r="953" spans="18:22">
      <c r="R953">
        <f t="shared" si="54"/>
        <v>2022</v>
      </c>
      <c r="S953" s="10">
        <v>44624</v>
      </c>
      <c r="T953" s="2">
        <v>25.84</v>
      </c>
      <c r="U953" s="13">
        <v>44624</v>
      </c>
      <c r="V953" s="1">
        <v>53322.05</v>
      </c>
    </row>
    <row r="954" spans="18:22">
      <c r="R954">
        <f t="shared" si="54"/>
        <v>2022</v>
      </c>
      <c r="S954" s="10">
        <v>44631</v>
      </c>
      <c r="T954" s="2">
        <v>23.64</v>
      </c>
      <c r="U954" s="13">
        <v>44631</v>
      </c>
      <c r="V954" s="1">
        <v>53300.7</v>
      </c>
    </row>
    <row r="955" spans="18:22">
      <c r="R955">
        <f t="shared" si="54"/>
        <v>2022</v>
      </c>
      <c r="S955" s="10">
        <v>44638</v>
      </c>
      <c r="T955" s="2">
        <v>22.96</v>
      </c>
      <c r="U955" s="13">
        <v>44638</v>
      </c>
      <c r="V955" s="1">
        <v>55467.06</v>
      </c>
    </row>
    <row r="956" spans="18:22">
      <c r="R956">
        <f t="shared" si="54"/>
        <v>2022</v>
      </c>
      <c r="S956" s="10">
        <v>44645</v>
      </c>
      <c r="T956" s="2">
        <v>22.99</v>
      </c>
      <c r="U956" s="13">
        <v>44645</v>
      </c>
      <c r="V956" s="1">
        <v>55436.05</v>
      </c>
    </row>
    <row r="957" spans="18:22">
      <c r="R957">
        <f t="shared" si="54"/>
        <v>2022</v>
      </c>
      <c r="S957" s="10">
        <v>44652</v>
      </c>
      <c r="T957" s="2">
        <v>25.02</v>
      </c>
      <c r="U957" s="13">
        <v>44652</v>
      </c>
      <c r="V957" s="1">
        <v>56609.54</v>
      </c>
    </row>
    <row r="958" spans="18:22">
      <c r="R958">
        <f t="shared" si="54"/>
        <v>2022</v>
      </c>
      <c r="S958" s="10">
        <v>44659</v>
      </c>
      <c r="T958" s="2">
        <v>25.03</v>
      </c>
      <c r="U958" s="13">
        <v>44659</v>
      </c>
      <c r="V958" s="1">
        <v>54687.25</v>
      </c>
    </row>
    <row r="959" spans="18:22">
      <c r="R959">
        <f t="shared" si="54"/>
        <v>2022</v>
      </c>
      <c r="S959" s="10">
        <v>44666</v>
      </c>
      <c r="T959" s="2">
        <v>25.31</v>
      </c>
      <c r="U959" s="13">
        <v>44666</v>
      </c>
      <c r="V959" s="1">
        <v>54172.62</v>
      </c>
    </row>
    <row r="960" spans="18:22">
      <c r="R960">
        <f t="shared" si="54"/>
        <v>2022</v>
      </c>
      <c r="S960" s="10">
        <v>44673</v>
      </c>
      <c r="T960" s="2">
        <v>25.91</v>
      </c>
      <c r="U960" s="13">
        <v>44673</v>
      </c>
      <c r="V960" s="1">
        <v>53191.78</v>
      </c>
    </row>
    <row r="961" spans="18:22">
      <c r="R961">
        <f t="shared" si="54"/>
        <v>2022</v>
      </c>
      <c r="S961" s="10">
        <v>44680</v>
      </c>
      <c r="T961" s="2">
        <v>25.39</v>
      </c>
      <c r="U961" s="13">
        <v>44680</v>
      </c>
      <c r="V961" s="1">
        <v>51417.97</v>
      </c>
    </row>
    <row r="962" spans="18:22">
      <c r="R962">
        <f t="shared" si="54"/>
        <v>2022</v>
      </c>
      <c r="S962" s="10">
        <v>44687</v>
      </c>
      <c r="T962" s="2">
        <v>24.07</v>
      </c>
      <c r="U962" s="13">
        <v>44687</v>
      </c>
      <c r="V962" s="1">
        <v>49541.81</v>
      </c>
    </row>
    <row r="963" spans="18:22">
      <c r="R963">
        <f t="shared" si="54"/>
        <v>2022</v>
      </c>
      <c r="S963" s="10">
        <v>44694</v>
      </c>
      <c r="T963" s="2">
        <v>25.22</v>
      </c>
      <c r="U963" s="13">
        <v>44694</v>
      </c>
      <c r="V963" s="1">
        <v>49579.9</v>
      </c>
    </row>
    <row r="964" spans="18:22">
      <c r="R964">
        <f t="shared" si="54"/>
        <v>2022</v>
      </c>
      <c r="S964" s="10">
        <v>44701</v>
      </c>
      <c r="T964" s="2">
        <v>25.68</v>
      </c>
      <c r="U964" s="13">
        <v>44701</v>
      </c>
      <c r="V964" s="1">
        <v>51518.3</v>
      </c>
    </row>
    <row r="965" spans="18:22">
      <c r="R965">
        <f t="shared" si="54"/>
        <v>2022</v>
      </c>
      <c r="S965" s="10">
        <v>44708</v>
      </c>
      <c r="T965" s="2">
        <v>26.09</v>
      </c>
      <c r="U965" s="13">
        <v>44708</v>
      </c>
      <c r="V965" s="1">
        <v>52463.55</v>
      </c>
    </row>
    <row r="966" spans="18:22">
      <c r="R966">
        <f t="shared" si="54"/>
        <v>2022</v>
      </c>
      <c r="S966" s="10">
        <v>44715</v>
      </c>
      <c r="T966" s="2">
        <v>25.55</v>
      </c>
      <c r="U966" s="13">
        <v>44715</v>
      </c>
      <c r="V966" s="1">
        <v>50689.05</v>
      </c>
    </row>
    <row r="967" spans="18:22">
      <c r="R967">
        <f t="shared" ref="R967:R1030" si="55">+YEAR(S967)</f>
        <v>2022</v>
      </c>
      <c r="S967" s="10">
        <v>44722</v>
      </c>
      <c r="T967" s="2">
        <v>25.69</v>
      </c>
      <c r="U967" s="13">
        <v>44722</v>
      </c>
      <c r="V967" s="1">
        <v>48471.519999999997</v>
      </c>
    </row>
    <row r="968" spans="18:22">
      <c r="R968">
        <f t="shared" si="55"/>
        <v>2022</v>
      </c>
      <c r="S968" s="10">
        <v>44729</v>
      </c>
      <c r="T968" s="2">
        <v>22.93</v>
      </c>
      <c r="U968" s="13">
        <v>44729</v>
      </c>
      <c r="V968" s="1">
        <v>48016.23</v>
      </c>
    </row>
    <row r="969" spans="18:22">
      <c r="R969">
        <f t="shared" si="55"/>
        <v>2022</v>
      </c>
      <c r="S969" s="10">
        <v>44736</v>
      </c>
      <c r="T969" s="2">
        <v>24.63</v>
      </c>
      <c r="U969" s="13">
        <v>44736</v>
      </c>
      <c r="V969" s="1">
        <v>47741.5</v>
      </c>
    </row>
    <row r="970" spans="18:22">
      <c r="R970">
        <f t="shared" si="55"/>
        <v>2022</v>
      </c>
      <c r="S970" s="10">
        <v>44743</v>
      </c>
      <c r="T970" s="2">
        <v>23.85</v>
      </c>
      <c r="U970" s="13">
        <v>44743</v>
      </c>
      <c r="V970" s="1">
        <v>47743.15</v>
      </c>
    </row>
    <row r="971" spans="18:22">
      <c r="R971">
        <f t="shared" si="55"/>
        <v>2022</v>
      </c>
      <c r="S971" s="10">
        <v>44750</v>
      </c>
      <c r="T971" s="2">
        <v>23.9</v>
      </c>
      <c r="U971" s="13">
        <v>44750</v>
      </c>
      <c r="V971" s="1">
        <v>47582.11</v>
      </c>
    </row>
    <row r="972" spans="18:22">
      <c r="R972">
        <f t="shared" si="55"/>
        <v>2022</v>
      </c>
      <c r="S972" s="10">
        <v>44757</v>
      </c>
      <c r="T972" s="2">
        <v>25.61</v>
      </c>
      <c r="U972" s="13">
        <v>44757</v>
      </c>
      <c r="V972" s="1">
        <v>47075.87</v>
      </c>
    </row>
    <row r="973" spans="18:22">
      <c r="R973">
        <f t="shared" si="55"/>
        <v>2022</v>
      </c>
      <c r="S973" s="10">
        <v>44764</v>
      </c>
      <c r="T973" s="2">
        <v>26.77</v>
      </c>
      <c r="U973" s="13">
        <v>44764</v>
      </c>
      <c r="V973" s="1">
        <v>47264.86</v>
      </c>
    </row>
    <row r="974" spans="18:22">
      <c r="R974">
        <f t="shared" si="55"/>
        <v>2022</v>
      </c>
      <c r="S974" s="10">
        <v>44771</v>
      </c>
      <c r="T974" s="2">
        <v>27.17</v>
      </c>
      <c r="U974" s="13">
        <v>44771</v>
      </c>
      <c r="V974" s="1">
        <v>48144.33</v>
      </c>
    </row>
    <row r="975" spans="18:22">
      <c r="R975">
        <f t="shared" si="55"/>
        <v>2022</v>
      </c>
      <c r="S975" s="10">
        <v>44778</v>
      </c>
      <c r="T975" s="2">
        <v>25.39</v>
      </c>
      <c r="U975" s="13">
        <v>44778</v>
      </c>
      <c r="V975" s="1">
        <v>46723.43</v>
      </c>
    </row>
    <row r="976" spans="18:22">
      <c r="R976">
        <f t="shared" si="55"/>
        <v>2022</v>
      </c>
      <c r="S976" s="10">
        <v>44785</v>
      </c>
      <c r="T976" s="2">
        <v>25.03</v>
      </c>
      <c r="U976" s="13">
        <v>44785</v>
      </c>
      <c r="V976" s="1">
        <v>48853.37</v>
      </c>
    </row>
    <row r="977" spans="18:22">
      <c r="R977">
        <f t="shared" si="55"/>
        <v>2022</v>
      </c>
      <c r="S977" s="10">
        <v>44792</v>
      </c>
      <c r="T977" s="2">
        <v>27.21</v>
      </c>
      <c r="U977" s="13">
        <v>44792</v>
      </c>
      <c r="V977" s="1">
        <v>48463.26</v>
      </c>
    </row>
    <row r="978" spans="18:22">
      <c r="R978">
        <f t="shared" si="55"/>
        <v>2022</v>
      </c>
      <c r="S978" s="10">
        <v>44799</v>
      </c>
      <c r="T978" s="2">
        <v>26.69</v>
      </c>
      <c r="U978" s="13">
        <v>44799</v>
      </c>
      <c r="V978" s="1">
        <v>47272.11</v>
      </c>
    </row>
    <row r="979" spans="18:22">
      <c r="R979">
        <f t="shared" si="55"/>
        <v>2022</v>
      </c>
      <c r="S979" s="10">
        <v>44806</v>
      </c>
      <c r="T979" s="2">
        <v>25.59</v>
      </c>
      <c r="U979" s="13">
        <v>44806</v>
      </c>
      <c r="V979" s="1">
        <v>45888.63</v>
      </c>
    </row>
    <row r="980" spans="18:22">
      <c r="R980">
        <f t="shared" si="55"/>
        <v>2022</v>
      </c>
      <c r="S980" s="10">
        <v>44813</v>
      </c>
      <c r="T980" s="2">
        <v>25.65</v>
      </c>
      <c r="U980" s="13">
        <v>44813</v>
      </c>
      <c r="V980" s="1">
        <v>47042.94</v>
      </c>
    </row>
    <row r="981" spans="18:22">
      <c r="R981">
        <f t="shared" si="55"/>
        <v>2022</v>
      </c>
      <c r="S981" s="10">
        <v>44820</v>
      </c>
      <c r="T981" s="2">
        <v>24.98</v>
      </c>
      <c r="U981" s="13">
        <v>44820</v>
      </c>
      <c r="V981" s="1">
        <v>46769.78</v>
      </c>
    </row>
    <row r="982" spans="18:22">
      <c r="R982">
        <f t="shared" si="55"/>
        <v>2022</v>
      </c>
      <c r="S982" s="10">
        <v>44827</v>
      </c>
      <c r="T982" s="2">
        <v>24.02</v>
      </c>
      <c r="U982" s="13">
        <v>44827</v>
      </c>
      <c r="V982" s="1">
        <v>45395.95</v>
      </c>
    </row>
    <row r="983" spans="18:22">
      <c r="R983">
        <f t="shared" si="55"/>
        <v>2022</v>
      </c>
      <c r="S983" s="10">
        <v>44834</v>
      </c>
      <c r="T983" s="2">
        <v>24.35</v>
      </c>
      <c r="U983" s="13">
        <v>44834</v>
      </c>
      <c r="V983" s="1">
        <v>44626.8</v>
      </c>
    </row>
    <row r="984" spans="18:22">
      <c r="R984">
        <f t="shared" si="55"/>
        <v>2022</v>
      </c>
      <c r="S984" s="10">
        <v>44841</v>
      </c>
      <c r="T984" s="2">
        <v>23.89</v>
      </c>
      <c r="U984" s="13">
        <v>44841</v>
      </c>
      <c r="V984" s="1">
        <v>45728.88</v>
      </c>
    </row>
    <row r="985" spans="18:22">
      <c r="R985">
        <f t="shared" si="55"/>
        <v>2022</v>
      </c>
      <c r="S985" s="10">
        <v>44848</v>
      </c>
      <c r="T985" s="2">
        <v>23.82</v>
      </c>
      <c r="U985" s="13">
        <v>44848</v>
      </c>
      <c r="V985" s="1">
        <v>45443.35</v>
      </c>
    </row>
    <row r="986" spans="18:22">
      <c r="R986">
        <f t="shared" si="55"/>
        <v>2022</v>
      </c>
      <c r="S986" s="10">
        <v>44855</v>
      </c>
      <c r="T986" s="2">
        <v>25.91</v>
      </c>
      <c r="U986" s="13">
        <v>44855</v>
      </c>
      <c r="V986" s="1">
        <v>47120.08</v>
      </c>
    </row>
    <row r="987" spans="18:22">
      <c r="R987">
        <f t="shared" si="55"/>
        <v>2022</v>
      </c>
      <c r="S987" s="10">
        <v>44862</v>
      </c>
      <c r="T987" s="2">
        <v>28.38</v>
      </c>
      <c r="U987" s="13">
        <v>44862</v>
      </c>
      <c r="V987" s="1">
        <v>49086.3</v>
      </c>
    </row>
    <row r="988" spans="18:22">
      <c r="R988">
        <f t="shared" si="55"/>
        <v>2022</v>
      </c>
      <c r="S988" s="10">
        <v>44869</v>
      </c>
      <c r="T988" s="2">
        <v>28.72</v>
      </c>
      <c r="U988" s="13">
        <v>44869</v>
      </c>
      <c r="V988" s="1">
        <v>51173.75</v>
      </c>
    </row>
    <row r="989" spans="18:22">
      <c r="R989">
        <f t="shared" si="55"/>
        <v>2022</v>
      </c>
      <c r="S989" s="10">
        <v>44876</v>
      </c>
      <c r="T989" s="2">
        <v>30.75</v>
      </c>
      <c r="U989" s="13">
        <v>44876</v>
      </c>
      <c r="V989" s="1">
        <v>51959.199999999997</v>
      </c>
    </row>
    <row r="990" spans="18:22">
      <c r="R990">
        <f t="shared" si="55"/>
        <v>2022</v>
      </c>
      <c r="S990" s="10">
        <v>44883</v>
      </c>
      <c r="T990" s="2">
        <v>30.25</v>
      </c>
      <c r="U990" s="13">
        <v>44883</v>
      </c>
      <c r="V990" s="1">
        <v>51569.72</v>
      </c>
    </row>
    <row r="991" spans="18:22">
      <c r="R991">
        <f t="shared" si="55"/>
        <v>2022</v>
      </c>
      <c r="S991" s="10">
        <v>44890</v>
      </c>
      <c r="T991" s="2">
        <v>30.18</v>
      </c>
      <c r="U991" s="13">
        <v>44890</v>
      </c>
      <c r="V991" s="1">
        <v>51668.639999999999</v>
      </c>
    </row>
    <row r="992" spans="18:22">
      <c r="R992">
        <f t="shared" si="55"/>
        <v>2022</v>
      </c>
      <c r="S992" s="10">
        <v>44897</v>
      </c>
      <c r="T992" s="2">
        <v>30.66</v>
      </c>
      <c r="U992" s="13">
        <v>44897</v>
      </c>
      <c r="V992" s="1">
        <v>51234.37</v>
      </c>
    </row>
    <row r="993" spans="18:22">
      <c r="R993">
        <f t="shared" si="55"/>
        <v>2022</v>
      </c>
      <c r="S993" s="10">
        <v>44904</v>
      </c>
      <c r="T993" s="2">
        <v>30.68</v>
      </c>
      <c r="U993" s="13">
        <v>44904</v>
      </c>
      <c r="V993" s="1">
        <v>50466.25</v>
      </c>
    </row>
    <row r="994" spans="18:22">
      <c r="R994">
        <f t="shared" si="55"/>
        <v>2022</v>
      </c>
      <c r="S994" s="10">
        <v>44911</v>
      </c>
      <c r="T994" s="2">
        <v>30.3</v>
      </c>
      <c r="U994" s="13">
        <v>44911</v>
      </c>
      <c r="V994" s="1">
        <v>49630.14</v>
      </c>
    </row>
    <row r="995" spans="18:22">
      <c r="R995">
        <f t="shared" si="55"/>
        <v>2022</v>
      </c>
      <c r="S995" s="10">
        <v>44918</v>
      </c>
      <c r="T995" s="2">
        <v>31.63</v>
      </c>
      <c r="U995" s="13">
        <v>44918</v>
      </c>
      <c r="V995" s="1">
        <v>50578.09</v>
      </c>
    </row>
    <row r="996" spans="18:22">
      <c r="R996">
        <f t="shared" si="55"/>
        <v>2022</v>
      </c>
      <c r="S996" s="10">
        <v>44925</v>
      </c>
      <c r="T996" s="2">
        <v>30.77</v>
      </c>
      <c r="U996" s="13">
        <v>44925</v>
      </c>
      <c r="V996" s="1">
        <v>48463.86</v>
      </c>
    </row>
    <row r="997" spans="18:22">
      <c r="R997">
        <f t="shared" si="55"/>
        <v>2023</v>
      </c>
      <c r="S997" s="10">
        <v>44932</v>
      </c>
      <c r="T997" s="2">
        <v>32.85</v>
      </c>
      <c r="U997" s="13">
        <v>44932</v>
      </c>
      <c r="V997" s="1">
        <v>51730.5</v>
      </c>
    </row>
    <row r="998" spans="18:22">
      <c r="R998">
        <f t="shared" si="55"/>
        <v>2023</v>
      </c>
      <c r="S998" s="10">
        <v>44939</v>
      </c>
      <c r="T998" s="2">
        <v>32.71</v>
      </c>
      <c r="U998" s="13">
        <v>44939</v>
      </c>
      <c r="V998" s="1">
        <v>53576.72</v>
      </c>
    </row>
    <row r="999" spans="18:22">
      <c r="R999">
        <f t="shared" si="55"/>
        <v>2023</v>
      </c>
      <c r="S999" s="10">
        <v>44946</v>
      </c>
      <c r="T999" s="2">
        <v>33.93</v>
      </c>
      <c r="U999" s="13">
        <v>44946</v>
      </c>
      <c r="V999" s="1">
        <v>53947.040000000001</v>
      </c>
    </row>
    <row r="1000" spans="18:22">
      <c r="R1000">
        <f t="shared" si="55"/>
        <v>2023</v>
      </c>
      <c r="S1000" s="10">
        <v>44953</v>
      </c>
      <c r="T1000" s="2">
        <v>33.020000000000003</v>
      </c>
      <c r="U1000" s="13">
        <v>44953</v>
      </c>
      <c r="V1000" s="1">
        <v>54774.91</v>
      </c>
    </row>
    <row r="1001" spans="18:22">
      <c r="R1001">
        <f t="shared" si="55"/>
        <v>2023</v>
      </c>
      <c r="S1001" s="10">
        <v>44960</v>
      </c>
      <c r="T1001" s="2">
        <v>34.369999999999997</v>
      </c>
      <c r="U1001" s="13">
        <v>44960</v>
      </c>
      <c r="V1001" s="1">
        <v>54049.05</v>
      </c>
    </row>
    <row r="1002" spans="18:22">
      <c r="R1002">
        <f t="shared" si="55"/>
        <v>2023</v>
      </c>
      <c r="S1002" s="10">
        <v>44967</v>
      </c>
      <c r="T1002" s="2">
        <v>33.270000000000003</v>
      </c>
      <c r="U1002" s="13">
        <v>44967</v>
      </c>
      <c r="V1002" s="1">
        <v>52482.02</v>
      </c>
    </row>
    <row r="1003" spans="18:22">
      <c r="R1003">
        <f t="shared" si="55"/>
        <v>2023</v>
      </c>
      <c r="S1003" s="10">
        <v>44974</v>
      </c>
      <c r="T1003" s="2">
        <v>33.97</v>
      </c>
      <c r="U1003" s="13">
        <v>44974</v>
      </c>
      <c r="V1003" s="1">
        <v>53789.64</v>
      </c>
    </row>
    <row r="1004" spans="18:22">
      <c r="R1004">
        <f t="shared" si="55"/>
        <v>2023</v>
      </c>
      <c r="S1004" s="10">
        <v>44981</v>
      </c>
      <c r="T1004" s="2">
        <v>34.49</v>
      </c>
      <c r="U1004" s="13">
        <v>44981</v>
      </c>
      <c r="V1004" s="1">
        <v>52686.23</v>
      </c>
    </row>
    <row r="1005" spans="18:22">
      <c r="R1005">
        <f t="shared" si="55"/>
        <v>2023</v>
      </c>
      <c r="S1005" s="10">
        <v>44988</v>
      </c>
      <c r="T1005" s="2">
        <v>35.36</v>
      </c>
      <c r="U1005" s="13">
        <v>44988</v>
      </c>
      <c r="V1005" s="1">
        <v>54182.27</v>
      </c>
    </row>
    <row r="1006" spans="18:22">
      <c r="R1006">
        <f t="shared" si="55"/>
        <v>2023</v>
      </c>
      <c r="S1006" s="10">
        <v>44995</v>
      </c>
      <c r="T1006" s="2">
        <v>33.74</v>
      </c>
      <c r="U1006" s="13">
        <v>44995</v>
      </c>
      <c r="V1006" s="1">
        <v>52794.53</v>
      </c>
    </row>
    <row r="1007" spans="18:22">
      <c r="R1007">
        <f t="shared" si="55"/>
        <v>2023</v>
      </c>
      <c r="S1007" s="10">
        <v>45002</v>
      </c>
      <c r="T1007" s="2">
        <v>35.11</v>
      </c>
      <c r="U1007" s="13">
        <v>45002</v>
      </c>
      <c r="V1007" s="1">
        <v>51925.61</v>
      </c>
    </row>
    <row r="1008" spans="18:22">
      <c r="R1008">
        <f t="shared" si="55"/>
        <v>2023</v>
      </c>
      <c r="S1008" s="10">
        <v>45009</v>
      </c>
      <c r="T1008" s="2">
        <v>35.17</v>
      </c>
      <c r="U1008" s="13">
        <v>45009</v>
      </c>
      <c r="V1008" s="1">
        <v>52771.12</v>
      </c>
    </row>
    <row r="1009" spans="18:22">
      <c r="R1009">
        <f t="shared" si="55"/>
        <v>2023</v>
      </c>
      <c r="S1009" s="10">
        <v>45016</v>
      </c>
      <c r="T1009" s="2">
        <v>35.32</v>
      </c>
      <c r="U1009" s="13">
        <v>45016</v>
      </c>
      <c r="V1009" s="1">
        <v>53904</v>
      </c>
    </row>
    <row r="1010" spans="18:22">
      <c r="R1010">
        <f t="shared" si="55"/>
        <v>2023</v>
      </c>
      <c r="S1010" s="10">
        <v>45023</v>
      </c>
      <c r="T1010" s="2">
        <v>34.869999999999997</v>
      </c>
      <c r="U1010" s="13">
        <v>45023</v>
      </c>
      <c r="V1010" s="1">
        <v>53498.39</v>
      </c>
    </row>
    <row r="1011" spans="18:22">
      <c r="R1011">
        <f t="shared" si="55"/>
        <v>2023</v>
      </c>
      <c r="S1011" s="10">
        <v>45030</v>
      </c>
      <c r="T1011" s="2">
        <v>37.159999999999997</v>
      </c>
      <c r="U1011" s="13">
        <v>45030</v>
      </c>
      <c r="V1011" s="1">
        <v>54460.05</v>
      </c>
    </row>
    <row r="1012" spans="18:22">
      <c r="R1012">
        <f t="shared" si="55"/>
        <v>2023</v>
      </c>
      <c r="S1012" s="10">
        <v>45037</v>
      </c>
      <c r="T1012" s="2">
        <v>37.86</v>
      </c>
      <c r="U1012" s="13">
        <v>45037</v>
      </c>
      <c r="V1012" s="1">
        <v>54175.29</v>
      </c>
    </row>
    <row r="1013" spans="18:22">
      <c r="R1013">
        <f t="shared" si="55"/>
        <v>2023</v>
      </c>
      <c r="S1013" s="10">
        <v>45044</v>
      </c>
      <c r="T1013" s="2">
        <v>38.36</v>
      </c>
      <c r="U1013" s="13">
        <v>45044</v>
      </c>
      <c r="V1013" s="1">
        <v>55121.22</v>
      </c>
    </row>
    <row r="1014" spans="18:22">
      <c r="R1014">
        <f t="shared" si="55"/>
        <v>2023</v>
      </c>
      <c r="S1014" s="10">
        <v>45051</v>
      </c>
      <c r="T1014" s="2">
        <v>37.32</v>
      </c>
      <c r="U1014" s="13">
        <v>45051</v>
      </c>
      <c r="V1014" s="1">
        <v>54937.39</v>
      </c>
    </row>
    <row r="1015" spans="18:22">
      <c r="R1015">
        <f t="shared" si="55"/>
        <v>2023</v>
      </c>
      <c r="S1015" s="10">
        <v>45058</v>
      </c>
      <c r="T1015" s="2">
        <v>37.1</v>
      </c>
      <c r="U1015" s="13">
        <v>45058</v>
      </c>
      <c r="V1015" s="1">
        <v>54948.34</v>
      </c>
    </row>
    <row r="1016" spans="18:22">
      <c r="R1016">
        <f t="shared" si="55"/>
        <v>2023</v>
      </c>
      <c r="S1016" s="10">
        <v>45065</v>
      </c>
      <c r="T1016" s="2">
        <v>36.049999999999997</v>
      </c>
      <c r="U1016" s="13">
        <v>45065</v>
      </c>
      <c r="V1016" s="1">
        <v>54296.05</v>
      </c>
    </row>
    <row r="1017" spans="18:22">
      <c r="R1017">
        <f t="shared" si="55"/>
        <v>2023</v>
      </c>
      <c r="S1017" s="10">
        <v>45072</v>
      </c>
      <c r="T1017" s="2">
        <v>34.56</v>
      </c>
      <c r="U1017" s="13">
        <v>45072</v>
      </c>
      <c r="V1017" s="1">
        <v>54025.45</v>
      </c>
    </row>
    <row r="1018" spans="18:22">
      <c r="R1018">
        <f t="shared" si="55"/>
        <v>2023</v>
      </c>
      <c r="S1018" s="10">
        <v>45079</v>
      </c>
      <c r="T1018" s="2">
        <v>34.049999999999997</v>
      </c>
      <c r="U1018" s="13">
        <v>45079</v>
      </c>
      <c r="V1018" s="1">
        <v>53232.71</v>
      </c>
    </row>
    <row r="1019" spans="18:22">
      <c r="R1019">
        <f t="shared" si="55"/>
        <v>2023</v>
      </c>
      <c r="S1019" s="10">
        <v>45086</v>
      </c>
      <c r="T1019" s="2">
        <v>36.15</v>
      </c>
      <c r="U1019" s="13">
        <v>45086</v>
      </c>
      <c r="V1019" s="1">
        <v>54512.14</v>
      </c>
    </row>
    <row r="1020" spans="18:22">
      <c r="R1020">
        <f t="shared" si="55"/>
        <v>2023</v>
      </c>
      <c r="S1020" s="10">
        <v>45093</v>
      </c>
      <c r="T1020" s="2">
        <v>37.28</v>
      </c>
      <c r="U1020" s="13">
        <v>45093</v>
      </c>
      <c r="V1020" s="1">
        <v>54842.51</v>
      </c>
    </row>
    <row r="1021" spans="18:22">
      <c r="R1021">
        <f t="shared" si="55"/>
        <v>2023</v>
      </c>
      <c r="S1021" s="10">
        <v>45100</v>
      </c>
      <c r="T1021" s="2">
        <v>36.6</v>
      </c>
      <c r="U1021" s="13">
        <v>45100</v>
      </c>
      <c r="V1021" s="1">
        <v>53341.91</v>
      </c>
    </row>
    <row r="1022" spans="18:22">
      <c r="R1022">
        <f t="shared" si="55"/>
        <v>2023</v>
      </c>
      <c r="S1022" s="10">
        <v>45107</v>
      </c>
      <c r="T1022" s="2">
        <v>35.81</v>
      </c>
      <c r="U1022" s="13">
        <v>45107</v>
      </c>
      <c r="V1022" s="1">
        <v>53526.1</v>
      </c>
    </row>
    <row r="1023" spans="18:22">
      <c r="R1023">
        <f t="shared" si="55"/>
        <v>2023</v>
      </c>
      <c r="S1023" s="10">
        <v>45114</v>
      </c>
      <c r="T1023" s="2">
        <v>36.659999999999997</v>
      </c>
      <c r="U1023" s="13">
        <v>45114</v>
      </c>
      <c r="V1023" s="1">
        <v>53904.29</v>
      </c>
    </row>
    <row r="1024" spans="18:22">
      <c r="R1024">
        <f t="shared" si="55"/>
        <v>2023</v>
      </c>
      <c r="S1024" s="10">
        <v>45121</v>
      </c>
      <c r="T1024" s="2">
        <v>37.96</v>
      </c>
      <c r="U1024" s="13">
        <v>45121</v>
      </c>
      <c r="V1024" s="1">
        <v>53770.8</v>
      </c>
    </row>
    <row r="1025" spans="18:22">
      <c r="R1025">
        <f t="shared" si="55"/>
        <v>2023</v>
      </c>
      <c r="S1025" s="10">
        <v>45128</v>
      </c>
      <c r="T1025" s="2">
        <v>37.65</v>
      </c>
      <c r="U1025" s="13">
        <v>45128</v>
      </c>
      <c r="V1025" s="1">
        <v>53702.16</v>
      </c>
    </row>
    <row r="1026" spans="18:22">
      <c r="R1026">
        <f t="shared" si="55"/>
        <v>2023</v>
      </c>
      <c r="S1026" s="10">
        <v>45135</v>
      </c>
      <c r="T1026" s="2">
        <v>37.799999999999997</v>
      </c>
      <c r="U1026" s="13">
        <v>45135</v>
      </c>
      <c r="V1026" s="1">
        <v>54910.93</v>
      </c>
    </row>
    <row r="1027" spans="18:22">
      <c r="R1027">
        <f t="shared" si="55"/>
        <v>2023</v>
      </c>
      <c r="S1027" s="10">
        <v>45142</v>
      </c>
      <c r="T1027" s="2">
        <v>36.82</v>
      </c>
      <c r="U1027" s="13">
        <v>45142</v>
      </c>
      <c r="V1027" s="1">
        <v>53991.42</v>
      </c>
    </row>
    <row r="1028" spans="18:22">
      <c r="R1028">
        <f t="shared" si="55"/>
        <v>2023</v>
      </c>
      <c r="S1028" s="10">
        <v>45149</v>
      </c>
      <c r="T1028" s="2">
        <v>37.53</v>
      </c>
      <c r="U1028" s="13">
        <v>45149</v>
      </c>
      <c r="V1028" s="1">
        <v>53242.16</v>
      </c>
    </row>
    <row r="1029" spans="18:22">
      <c r="R1029">
        <f t="shared" si="55"/>
        <v>2023</v>
      </c>
      <c r="S1029" s="10">
        <v>45156</v>
      </c>
      <c r="T1029" s="2">
        <v>36.36</v>
      </c>
      <c r="U1029" s="13">
        <v>45156</v>
      </c>
      <c r="V1029" s="1">
        <v>53194.39</v>
      </c>
    </row>
    <row r="1030" spans="18:22">
      <c r="R1030">
        <f t="shared" si="55"/>
        <v>2023</v>
      </c>
      <c r="S1030" s="10">
        <v>45163</v>
      </c>
      <c r="T1030" s="2">
        <v>38.020000000000003</v>
      </c>
      <c r="U1030" s="13">
        <v>45163</v>
      </c>
      <c r="V1030" s="1">
        <v>53191.53</v>
      </c>
    </row>
    <row r="1031" spans="18:22">
      <c r="R1031">
        <f t="shared" ref="R1031:R1075" si="56">+YEAR(S1031)</f>
        <v>2023</v>
      </c>
      <c r="S1031" s="10">
        <v>45170</v>
      </c>
      <c r="T1031" s="2">
        <v>36.57</v>
      </c>
      <c r="U1031" s="13">
        <v>45170</v>
      </c>
      <c r="V1031" s="1">
        <v>53145.36</v>
      </c>
    </row>
    <row r="1032" spans="18:22">
      <c r="R1032">
        <f t="shared" si="56"/>
        <v>2023</v>
      </c>
      <c r="S1032" s="10">
        <v>45177</v>
      </c>
      <c r="T1032" s="2">
        <v>36.42</v>
      </c>
      <c r="U1032" s="13">
        <v>45177</v>
      </c>
      <c r="V1032" s="1">
        <v>52505.11</v>
      </c>
    </row>
    <row r="1033" spans="18:22">
      <c r="R1033">
        <f t="shared" si="56"/>
        <v>2023</v>
      </c>
      <c r="S1033" s="10">
        <v>45184</v>
      </c>
      <c r="T1033" s="2">
        <v>35.229999999999997</v>
      </c>
      <c r="U1033" s="13">
        <v>45184</v>
      </c>
      <c r="V1033" s="1">
        <v>51351.6</v>
      </c>
    </row>
    <row r="1034" spans="18:22">
      <c r="R1034">
        <f t="shared" si="56"/>
        <v>2023</v>
      </c>
      <c r="S1034" s="10">
        <v>45191</v>
      </c>
      <c r="T1034" s="2">
        <v>35.69</v>
      </c>
      <c r="U1034" s="13">
        <v>45191</v>
      </c>
      <c r="V1034" s="1">
        <v>51677.48</v>
      </c>
    </row>
    <row r="1035" spans="18:22">
      <c r="R1035">
        <f t="shared" si="56"/>
        <v>2023</v>
      </c>
      <c r="S1035" s="10">
        <v>45198</v>
      </c>
      <c r="T1035" s="2">
        <v>32.99</v>
      </c>
      <c r="U1035" s="13">
        <v>45198</v>
      </c>
      <c r="V1035" s="1">
        <v>50874.98</v>
      </c>
    </row>
    <row r="1036" spans="18:22">
      <c r="R1036">
        <f t="shared" si="56"/>
        <v>2023</v>
      </c>
      <c r="S1036" s="10">
        <v>45205</v>
      </c>
      <c r="T1036" s="2">
        <v>33.380000000000003</v>
      </c>
      <c r="U1036" s="13">
        <v>45205</v>
      </c>
      <c r="V1036" s="1">
        <v>49666.5</v>
      </c>
    </row>
    <row r="1037" spans="18:22">
      <c r="R1037">
        <f t="shared" si="56"/>
        <v>2023</v>
      </c>
      <c r="S1037" s="10">
        <v>45212</v>
      </c>
      <c r="T1037" s="2">
        <v>31.62</v>
      </c>
      <c r="U1037" s="13">
        <v>45212</v>
      </c>
      <c r="V1037" s="1">
        <v>49379.58</v>
      </c>
    </row>
    <row r="1038" spans="18:22">
      <c r="R1038">
        <f t="shared" si="56"/>
        <v>2023</v>
      </c>
      <c r="S1038" s="10">
        <v>45219</v>
      </c>
      <c r="T1038" s="2">
        <v>31.97</v>
      </c>
      <c r="U1038" s="13">
        <v>45219</v>
      </c>
      <c r="V1038" s="1">
        <v>48275.91</v>
      </c>
    </row>
    <row r="1039" spans="18:22">
      <c r="R1039">
        <f t="shared" si="56"/>
        <v>2023</v>
      </c>
      <c r="S1039" s="10">
        <v>45226</v>
      </c>
      <c r="T1039" s="2">
        <v>32.64</v>
      </c>
      <c r="U1039" s="13">
        <v>45226</v>
      </c>
      <c r="V1039" s="1">
        <v>48973.85</v>
      </c>
    </row>
    <row r="1040" spans="18:22">
      <c r="R1040">
        <f t="shared" si="56"/>
        <v>2023</v>
      </c>
      <c r="S1040" s="10">
        <v>45233</v>
      </c>
      <c r="T1040" s="2">
        <v>33.630000000000003</v>
      </c>
      <c r="U1040" s="13">
        <v>45233</v>
      </c>
      <c r="V1040" s="1">
        <v>51266.73</v>
      </c>
    </row>
    <row r="1041" spans="18:22">
      <c r="R1041">
        <f t="shared" si="56"/>
        <v>2023</v>
      </c>
      <c r="S1041" s="10">
        <v>45240</v>
      </c>
      <c r="T1041" s="2">
        <v>32.71</v>
      </c>
      <c r="U1041" s="13">
        <v>45240</v>
      </c>
      <c r="V1041" s="1">
        <v>51258.239999999998</v>
      </c>
    </row>
    <row r="1042" spans="18:22">
      <c r="R1042">
        <f t="shared" si="56"/>
        <v>2023</v>
      </c>
      <c r="S1042" s="10">
        <v>45247</v>
      </c>
      <c r="T1042" s="2">
        <v>32.79</v>
      </c>
      <c r="U1042" s="13">
        <v>45247</v>
      </c>
      <c r="V1042" s="1">
        <v>52685.1</v>
      </c>
    </row>
    <row r="1043" spans="18:22">
      <c r="R1043">
        <f t="shared" si="56"/>
        <v>2023</v>
      </c>
      <c r="S1043" s="10">
        <v>45254</v>
      </c>
      <c r="T1043" s="2">
        <v>32.64</v>
      </c>
      <c r="U1043" s="13">
        <v>45254</v>
      </c>
      <c r="V1043" s="1">
        <v>52938.42</v>
      </c>
    </row>
    <row r="1044" spans="18:22">
      <c r="R1044">
        <f t="shared" si="56"/>
        <v>2023</v>
      </c>
      <c r="S1044" s="10">
        <v>45261</v>
      </c>
      <c r="T1044" s="2">
        <v>33.96</v>
      </c>
      <c r="U1044" s="13">
        <v>45261</v>
      </c>
      <c r="V1044" s="1">
        <v>53901.43</v>
      </c>
    </row>
    <row r="1045" spans="18:22">
      <c r="R1045">
        <f t="shared" si="56"/>
        <v>2023</v>
      </c>
      <c r="S1045" s="10">
        <v>45268</v>
      </c>
      <c r="T1045" s="2">
        <v>33.9</v>
      </c>
      <c r="U1045" s="13">
        <v>45268</v>
      </c>
      <c r="V1045" s="1">
        <v>54393.01</v>
      </c>
    </row>
    <row r="1046" spans="18:22">
      <c r="R1046">
        <f t="shared" si="56"/>
        <v>2023</v>
      </c>
      <c r="S1046" s="10">
        <v>45275</v>
      </c>
      <c r="T1046" s="2">
        <v>36.01</v>
      </c>
      <c r="U1046" s="13">
        <v>45275</v>
      </c>
      <c r="V1046" s="1">
        <v>57130.080000000002</v>
      </c>
    </row>
    <row r="1047" spans="18:22">
      <c r="R1047">
        <f t="shared" si="56"/>
        <v>2023</v>
      </c>
      <c r="S1047" s="10">
        <v>45282</v>
      </c>
      <c r="T1047" s="2">
        <v>36.94</v>
      </c>
      <c r="U1047" s="13">
        <v>45282</v>
      </c>
      <c r="V1047" s="1">
        <v>57313.46</v>
      </c>
    </row>
    <row r="1048" spans="18:22">
      <c r="R1048">
        <f t="shared" si="56"/>
        <v>2023</v>
      </c>
      <c r="S1048" s="10">
        <v>45289</v>
      </c>
      <c r="T1048" s="2">
        <v>37.15</v>
      </c>
      <c r="U1048" s="13">
        <v>45289</v>
      </c>
      <c r="V1048" s="1">
        <v>57386.25</v>
      </c>
    </row>
    <row r="1049" spans="18:22">
      <c r="R1049">
        <f t="shared" si="56"/>
        <v>2024</v>
      </c>
      <c r="S1049" s="10">
        <v>45296</v>
      </c>
      <c r="T1049" s="2">
        <v>36.82</v>
      </c>
      <c r="U1049" s="13">
        <v>45296</v>
      </c>
      <c r="V1049" s="1">
        <v>56192.78</v>
      </c>
    </row>
    <row r="1050" spans="18:22">
      <c r="R1050">
        <f t="shared" si="56"/>
        <v>2024</v>
      </c>
      <c r="S1050" s="10">
        <v>45303</v>
      </c>
      <c r="T1050" s="2">
        <v>36.42</v>
      </c>
      <c r="U1050" s="13">
        <v>45303</v>
      </c>
      <c r="V1050" s="1">
        <v>55607.07</v>
      </c>
    </row>
    <row r="1051" spans="18:22">
      <c r="R1051">
        <f t="shared" si="56"/>
        <v>2024</v>
      </c>
      <c r="S1051" s="10">
        <v>45310</v>
      </c>
      <c r="T1051" s="2">
        <v>37.61</v>
      </c>
      <c r="U1051" s="13">
        <v>45310</v>
      </c>
      <c r="V1051" s="1">
        <v>55452.1</v>
      </c>
    </row>
    <row r="1052" spans="18:22">
      <c r="R1052">
        <f t="shared" si="56"/>
        <v>2024</v>
      </c>
      <c r="S1052" s="10">
        <v>45317</v>
      </c>
      <c r="T1052" s="2">
        <v>37.479999999999997</v>
      </c>
      <c r="U1052" s="13">
        <v>45317</v>
      </c>
      <c r="V1052" s="1">
        <v>56855.88</v>
      </c>
    </row>
    <row r="1053" spans="18:22">
      <c r="R1053">
        <f t="shared" si="56"/>
        <v>2024</v>
      </c>
      <c r="S1053" s="10">
        <v>45324</v>
      </c>
      <c r="T1053" s="2">
        <v>37.54</v>
      </c>
      <c r="U1053" s="13">
        <v>45324</v>
      </c>
      <c r="V1053" s="1">
        <v>58226.77</v>
      </c>
    </row>
    <row r="1054" spans="18:22">
      <c r="R1054">
        <f t="shared" si="56"/>
        <v>2024</v>
      </c>
      <c r="S1054" s="10">
        <v>45331</v>
      </c>
      <c r="T1054" s="2">
        <v>36.840000000000003</v>
      </c>
      <c r="U1054" s="13">
        <v>45331</v>
      </c>
      <c r="V1054" s="1">
        <v>57327.5</v>
      </c>
    </row>
    <row r="1055" spans="18:22">
      <c r="R1055">
        <f t="shared" si="56"/>
        <v>2024</v>
      </c>
      <c r="S1055" s="10">
        <v>45338</v>
      </c>
      <c r="T1055" s="2">
        <v>36.840000000000003</v>
      </c>
      <c r="U1055" s="13">
        <v>45338</v>
      </c>
      <c r="V1055" s="1">
        <v>57132.11</v>
      </c>
    </row>
    <row r="1056" spans="18:22">
      <c r="R1056">
        <f t="shared" si="56"/>
        <v>2024</v>
      </c>
      <c r="S1056" s="10">
        <v>45345</v>
      </c>
      <c r="T1056" s="2">
        <v>37.369999999999997</v>
      </c>
      <c r="U1056" s="13">
        <v>45345</v>
      </c>
      <c r="V1056" s="1">
        <v>56659.8</v>
      </c>
    </row>
    <row r="1057" spans="18:22">
      <c r="R1057">
        <f t="shared" si="56"/>
        <v>2024</v>
      </c>
      <c r="S1057" s="10">
        <v>45352</v>
      </c>
      <c r="T1057" s="2">
        <v>36.42</v>
      </c>
      <c r="U1057" s="13">
        <v>45352</v>
      </c>
      <c r="V1057" s="1">
        <v>55536.32</v>
      </c>
    </row>
    <row r="1058" spans="18:22">
      <c r="R1058">
        <f t="shared" si="56"/>
        <v>2024</v>
      </c>
      <c r="S1058" s="10">
        <v>45359</v>
      </c>
      <c r="T1058" s="2">
        <v>36.85</v>
      </c>
      <c r="U1058" s="13">
        <v>45359</v>
      </c>
      <c r="V1058" s="1">
        <v>54935.99</v>
      </c>
    </row>
    <row r="1059" spans="18:22">
      <c r="R1059">
        <f t="shared" si="56"/>
        <v>2024</v>
      </c>
      <c r="S1059" s="10">
        <v>45366</v>
      </c>
      <c r="T1059" s="2">
        <v>36.93</v>
      </c>
      <c r="U1059" s="13">
        <v>45366</v>
      </c>
      <c r="V1059" s="1">
        <v>56228.4</v>
      </c>
    </row>
    <row r="1060" spans="18:22">
      <c r="R1060">
        <f t="shared" si="56"/>
        <v>2024</v>
      </c>
      <c r="S1060" s="10">
        <v>45373</v>
      </c>
      <c r="T1060" s="2">
        <v>36.74</v>
      </c>
      <c r="U1060" s="13">
        <v>45373</v>
      </c>
      <c r="V1060" s="1">
        <v>56610.54</v>
      </c>
    </row>
    <row r="1061" spans="18:22">
      <c r="R1061">
        <f t="shared" si="56"/>
        <v>2024</v>
      </c>
      <c r="S1061" s="10">
        <v>45380</v>
      </c>
      <c r="T1061" s="2">
        <v>37.57</v>
      </c>
      <c r="U1061" s="13">
        <v>45380</v>
      </c>
      <c r="V1061" s="1">
        <v>57369.01</v>
      </c>
    </row>
    <row r="1062" spans="18:22">
      <c r="R1062">
        <f t="shared" si="56"/>
        <v>2024</v>
      </c>
      <c r="S1062" s="10">
        <v>45387</v>
      </c>
      <c r="T1062" s="2">
        <v>37.619999999999997</v>
      </c>
      <c r="U1062" s="13">
        <v>45387</v>
      </c>
      <c r="V1062" s="1">
        <v>58092.44</v>
      </c>
    </row>
    <row r="1063" spans="18:22">
      <c r="R1063">
        <f t="shared" si="56"/>
        <v>2024</v>
      </c>
      <c r="S1063" s="10">
        <v>45394</v>
      </c>
      <c r="T1063" s="2">
        <v>37.86</v>
      </c>
      <c r="U1063" s="13">
        <v>45394</v>
      </c>
      <c r="V1063" s="1">
        <v>56565.919999999998</v>
      </c>
    </row>
    <row r="1064" spans="18:22">
      <c r="R1064">
        <f t="shared" si="56"/>
        <v>2024</v>
      </c>
      <c r="S1064" s="10">
        <v>45401</v>
      </c>
      <c r="T1064" s="2">
        <v>35.71</v>
      </c>
      <c r="U1064" s="1">
        <v>45401</v>
      </c>
      <c r="V1064" s="1">
        <v>55862.85</v>
      </c>
    </row>
    <row r="1065" spans="18:22">
      <c r="R1065">
        <f t="shared" si="56"/>
        <v>2024</v>
      </c>
      <c r="S1065" s="10">
        <v>45408</v>
      </c>
      <c r="T1065" s="2">
        <v>36.14</v>
      </c>
      <c r="U1065" s="1">
        <v>45408</v>
      </c>
      <c r="V1065" s="1">
        <v>57833.85</v>
      </c>
    </row>
    <row r="1066" spans="18:22">
      <c r="R1066">
        <f t="shared" si="56"/>
        <v>2024</v>
      </c>
      <c r="S1066" s="10">
        <v>45415</v>
      </c>
      <c r="T1066" s="2">
        <v>36.42</v>
      </c>
      <c r="U1066" s="1">
        <v>45415</v>
      </c>
      <c r="V1066" s="1">
        <v>57135.26</v>
      </c>
    </row>
    <row r="1067" spans="18:22">
      <c r="R1067">
        <f t="shared" si="56"/>
        <v>2024</v>
      </c>
      <c r="S1067" s="10">
        <v>45422</v>
      </c>
      <c r="T1067" s="2">
        <v>35.92</v>
      </c>
      <c r="U1067" s="1">
        <v>45422</v>
      </c>
      <c r="V1067" s="1">
        <v>57718.04</v>
      </c>
    </row>
    <row r="1068" spans="18:22">
      <c r="R1068">
        <f t="shared" si="56"/>
        <v>2024</v>
      </c>
      <c r="S1068" s="10">
        <v>45429</v>
      </c>
      <c r="T1068" s="2">
        <v>36.049999999999997</v>
      </c>
      <c r="U1068" s="1">
        <v>45429</v>
      </c>
      <c r="V1068" s="1">
        <v>57583.08</v>
      </c>
    </row>
    <row r="1069" spans="18:22">
      <c r="R1069">
        <f t="shared" si="56"/>
        <v>2024</v>
      </c>
      <c r="S1069" s="10">
        <v>45436</v>
      </c>
      <c r="T1069" s="2">
        <v>35.21</v>
      </c>
      <c r="U1069" s="1">
        <v>45436</v>
      </c>
      <c r="V1069" s="1">
        <v>55413.120000000003</v>
      </c>
    </row>
    <row r="1070" spans="18:22">
      <c r="R1070">
        <f t="shared" si="56"/>
        <v>2024</v>
      </c>
      <c r="S1070" s="10">
        <v>45443</v>
      </c>
      <c r="T1070" s="2">
        <v>35.06</v>
      </c>
      <c r="U1070" s="1">
        <v>45443</v>
      </c>
      <c r="V1070" s="1">
        <v>55179.24</v>
      </c>
    </row>
    <row r="1071" spans="18:22">
      <c r="R1071">
        <f t="shared" si="56"/>
        <v>2024</v>
      </c>
      <c r="S1071" s="10">
        <v>45450</v>
      </c>
      <c r="T1071" s="2">
        <v>33.04</v>
      </c>
      <c r="U1071" s="1">
        <v>45450</v>
      </c>
      <c r="V1071" s="1">
        <v>52977.32</v>
      </c>
    </row>
    <row r="1072" spans="18:22">
      <c r="R1072">
        <f t="shared" si="56"/>
        <v>2024</v>
      </c>
      <c r="S1072" s="10">
        <v>45457</v>
      </c>
      <c r="T1072" s="2">
        <v>31.82</v>
      </c>
      <c r="U1072" s="1">
        <v>45457</v>
      </c>
      <c r="V1072" s="1">
        <v>52222.94</v>
      </c>
    </row>
    <row r="1073" spans="18:22">
      <c r="R1073">
        <f t="shared" si="56"/>
        <v>2024</v>
      </c>
      <c r="S1073" s="10">
        <v>45464</v>
      </c>
      <c r="T1073" s="2">
        <v>31.71</v>
      </c>
      <c r="U1073" s="1">
        <v>45464</v>
      </c>
      <c r="V1073" s="1">
        <v>52788.5</v>
      </c>
    </row>
    <row r="1074" spans="18:22">
      <c r="R1074">
        <f t="shared" si="56"/>
        <v>2024</v>
      </c>
      <c r="S1074" s="10">
        <v>45471</v>
      </c>
      <c r="T1074" s="2">
        <v>31.18</v>
      </c>
      <c r="U1074" s="1">
        <v>45471</v>
      </c>
      <c r="V1074" s="1">
        <v>52440.02</v>
      </c>
    </row>
    <row r="1075" spans="18:22">
      <c r="R1075">
        <f t="shared" si="56"/>
        <v>2024</v>
      </c>
      <c r="S1075" s="10">
        <v>45478</v>
      </c>
      <c r="T1075" s="2">
        <v>30.69</v>
      </c>
      <c r="U1075" s="1">
        <v>45478</v>
      </c>
      <c r="V1075" s="1">
        <v>52583.79</v>
      </c>
    </row>
  </sheetData>
  <hyperlinks>
    <hyperlink ref="C17" r:id="rId1" xr:uid="{00000000-0004-0000-0600-000000000000}"/>
    <hyperlink ref="C13" r:id="rId2" xr:uid="{3F122730-A38F-42F8-9F3C-0FB171E32E89}"/>
    <hyperlink ref="C24" r:id="rId3" xr:uid="{21475415-E9E9-4828-AA78-6CEDBB508983}"/>
    <hyperlink ref="C2" r:id="rId4" display="https://www.kimberly-clark.com.mx/en/finance/quarterly-reports" xr:uid="{F9533B8B-1C7B-4066-AF76-030BBA0CC256}"/>
  </hyperlinks>
  <pageMargins left="0.7" right="0.7" top="0.75" bottom="0.75" header="0.3" footer="0.3"/>
  <pageSetup orientation="portrait"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713F6-5C88-4264-88F9-A374469C0335}">
  <dimension ref="A1:EN34"/>
  <sheetViews>
    <sheetView workbookViewId="0"/>
  </sheetViews>
  <sheetFormatPr defaultRowHeight="15"/>
  <cols>
    <col min="1" max="1" width="35.42578125" bestFit="1" customWidth="1"/>
    <col min="2" max="6" width="15.5703125" bestFit="1" customWidth="1"/>
    <col min="7" max="12" width="15.5703125" customWidth="1"/>
    <col min="13" max="31" width="15.5703125" bestFit="1" customWidth="1"/>
    <col min="32" max="102" width="16.7109375" bestFit="1" customWidth="1"/>
    <col min="109" max="109" width="9.85546875" bestFit="1" customWidth="1"/>
    <col min="110" max="118" width="9.28515625" bestFit="1" customWidth="1"/>
    <col min="119" max="141" width="9.5703125" bestFit="1" customWidth="1"/>
    <col min="142" max="144" width="9.28515625" bestFit="1" customWidth="1"/>
  </cols>
  <sheetData>
    <row r="1" spans="1:144">
      <c r="P1">
        <v>6</v>
      </c>
      <c r="S1">
        <f>+P1+1</f>
        <v>7</v>
      </c>
      <c r="V1">
        <f>+S1+1</f>
        <v>8</v>
      </c>
      <c r="Y1">
        <f>+V1+1</f>
        <v>9</v>
      </c>
      <c r="AB1">
        <f>+Y1+1</f>
        <v>10</v>
      </c>
      <c r="AE1">
        <f>+AB1+1</f>
        <v>11</v>
      </c>
      <c r="AH1">
        <f>+AE1+1</f>
        <v>12</v>
      </c>
      <c r="AK1">
        <f>+AH1+1</f>
        <v>13</v>
      </c>
      <c r="AN1">
        <f>+AK1+1</f>
        <v>14</v>
      </c>
      <c r="AQ1">
        <f>+AN1+1</f>
        <v>15</v>
      </c>
      <c r="AT1">
        <f>+AQ1+1</f>
        <v>16</v>
      </c>
      <c r="AW1">
        <f>+AT1+1</f>
        <v>17</v>
      </c>
      <c r="AZ1">
        <f>+AW1+1</f>
        <v>18</v>
      </c>
      <c r="BC1">
        <f>+AZ1+1</f>
        <v>19</v>
      </c>
      <c r="BF1">
        <f>+BC1+1</f>
        <v>20</v>
      </c>
      <c r="BI1">
        <f>+BF1+1</f>
        <v>21</v>
      </c>
      <c r="BL1">
        <f>+BI1+1</f>
        <v>22</v>
      </c>
      <c r="BO1">
        <f>+BL1+1</f>
        <v>23</v>
      </c>
      <c r="BR1">
        <f>+BO1+1</f>
        <v>24</v>
      </c>
      <c r="BU1">
        <f>+BR1+1</f>
        <v>25</v>
      </c>
      <c r="BX1">
        <f>+BU1+1</f>
        <v>26</v>
      </c>
      <c r="CA1">
        <f>+BX1+1</f>
        <v>27</v>
      </c>
      <c r="CD1">
        <f>+CA1+1</f>
        <v>28</v>
      </c>
      <c r="CG1">
        <f>+CD1+1</f>
        <v>29</v>
      </c>
      <c r="CJ1">
        <f>+CG1+1</f>
        <v>30</v>
      </c>
      <c r="CM1">
        <f>+CJ1+1</f>
        <v>31</v>
      </c>
      <c r="CP1">
        <f>+CM1+1</f>
        <v>32</v>
      </c>
      <c r="CS1">
        <f>+CP1+1</f>
        <v>33</v>
      </c>
      <c r="CV1">
        <f>+CS1+1</f>
        <v>34</v>
      </c>
      <c r="CY1">
        <f>+CV1+1</f>
        <v>35</v>
      </c>
      <c r="DC1">
        <f>+CY1+1</f>
        <v>36</v>
      </c>
      <c r="DG1">
        <f>+DC1+1</f>
        <v>37</v>
      </c>
      <c r="DK1">
        <f>+DG1+1</f>
        <v>38</v>
      </c>
      <c r="DO1">
        <f>+DK1+1</f>
        <v>39</v>
      </c>
      <c r="DS1">
        <f>+DO1+1</f>
        <v>40</v>
      </c>
      <c r="DW1">
        <f>+DS1+1</f>
        <v>41</v>
      </c>
      <c r="EA1">
        <f>+DW1+1</f>
        <v>42</v>
      </c>
      <c r="EE1">
        <f>+EA1+1</f>
        <v>43</v>
      </c>
      <c r="EI1">
        <f>+EE1+1</f>
        <v>44</v>
      </c>
    </row>
    <row r="2" spans="1:144" ht="15.75" thickBot="1">
      <c r="A2" s="94"/>
      <c r="B2" s="154">
        <v>42400</v>
      </c>
      <c r="C2" s="154">
        <f t="shared" ref="C2:M2" si="0">+EOMONTH(B2,1)</f>
        <v>42429</v>
      </c>
      <c r="D2" s="154">
        <f t="shared" si="0"/>
        <v>42460</v>
      </c>
      <c r="E2" s="154">
        <f t="shared" si="0"/>
        <v>42490</v>
      </c>
      <c r="F2" s="154">
        <f t="shared" si="0"/>
        <v>42521</v>
      </c>
      <c r="G2" s="154">
        <f t="shared" si="0"/>
        <v>42551</v>
      </c>
      <c r="H2" s="154">
        <f t="shared" si="0"/>
        <v>42582</v>
      </c>
      <c r="I2" s="154">
        <f t="shared" si="0"/>
        <v>42613</v>
      </c>
      <c r="J2" s="154">
        <f t="shared" si="0"/>
        <v>42643</v>
      </c>
      <c r="K2" s="154">
        <f t="shared" si="0"/>
        <v>42674</v>
      </c>
      <c r="L2" s="154">
        <f t="shared" si="0"/>
        <v>42704</v>
      </c>
      <c r="M2" s="154">
        <f t="shared" si="0"/>
        <v>42735</v>
      </c>
      <c r="N2" s="154">
        <f>+EOMONTH(M2,1)</f>
        <v>42766</v>
      </c>
      <c r="O2" s="154">
        <f t="shared" ref="O2:BZ2" si="1">+EOMONTH(N2,1)</f>
        <v>42794</v>
      </c>
      <c r="P2" s="154">
        <f t="shared" si="1"/>
        <v>42825</v>
      </c>
      <c r="Q2" s="154">
        <f>+EOMONTH(P2,1)</f>
        <v>42855</v>
      </c>
      <c r="R2" s="154">
        <f t="shared" si="1"/>
        <v>42886</v>
      </c>
      <c r="S2" s="154">
        <f t="shared" si="1"/>
        <v>42916</v>
      </c>
      <c r="T2" s="154">
        <f>+EOMONTH(S2,1)</f>
        <v>42947</v>
      </c>
      <c r="U2" s="154">
        <f t="shared" si="1"/>
        <v>42978</v>
      </c>
      <c r="V2" s="154">
        <f t="shared" si="1"/>
        <v>43008</v>
      </c>
      <c r="W2" s="154">
        <f>+EOMONTH(V2,1)</f>
        <v>43039</v>
      </c>
      <c r="X2" s="154">
        <f t="shared" si="1"/>
        <v>43069</v>
      </c>
      <c r="Y2" s="154">
        <f t="shared" si="1"/>
        <v>43100</v>
      </c>
      <c r="Z2" s="154">
        <f>+EOMONTH(Y2,1)</f>
        <v>43131</v>
      </c>
      <c r="AA2" s="154">
        <f t="shared" si="1"/>
        <v>43159</v>
      </c>
      <c r="AB2" s="154">
        <f t="shared" si="1"/>
        <v>43190</v>
      </c>
      <c r="AC2" s="154">
        <f>+EOMONTH(AB2,1)</f>
        <v>43220</v>
      </c>
      <c r="AD2" s="154">
        <f t="shared" si="1"/>
        <v>43251</v>
      </c>
      <c r="AE2" s="154">
        <f t="shared" si="1"/>
        <v>43281</v>
      </c>
      <c r="AF2" s="154">
        <f>+EOMONTH(AE2,1)</f>
        <v>43312</v>
      </c>
      <c r="AG2" s="154">
        <f t="shared" si="1"/>
        <v>43343</v>
      </c>
      <c r="AH2" s="154">
        <f t="shared" si="1"/>
        <v>43373</v>
      </c>
      <c r="AI2" s="154">
        <f>+EOMONTH(AH2,1)</f>
        <v>43404</v>
      </c>
      <c r="AJ2" s="154">
        <f t="shared" si="1"/>
        <v>43434</v>
      </c>
      <c r="AK2" s="154">
        <f t="shared" si="1"/>
        <v>43465</v>
      </c>
      <c r="AL2" s="154">
        <f>+EOMONTH(AK2,1)</f>
        <v>43496</v>
      </c>
      <c r="AM2" s="154">
        <f t="shared" si="1"/>
        <v>43524</v>
      </c>
      <c r="AN2" s="154">
        <f t="shared" si="1"/>
        <v>43555</v>
      </c>
      <c r="AO2" s="154">
        <f>+EOMONTH(AN2,1)</f>
        <v>43585</v>
      </c>
      <c r="AP2" s="154">
        <f t="shared" si="1"/>
        <v>43616</v>
      </c>
      <c r="AQ2" s="154">
        <f t="shared" si="1"/>
        <v>43646</v>
      </c>
      <c r="AR2" s="154">
        <f>+EOMONTH(AQ2,1)</f>
        <v>43677</v>
      </c>
      <c r="AS2" s="154">
        <f t="shared" si="1"/>
        <v>43708</v>
      </c>
      <c r="AT2" s="154">
        <f t="shared" si="1"/>
        <v>43738</v>
      </c>
      <c r="AU2" s="154">
        <f>+EOMONTH(AT2,1)</f>
        <v>43769</v>
      </c>
      <c r="AV2" s="154">
        <f t="shared" si="1"/>
        <v>43799</v>
      </c>
      <c r="AW2" s="154">
        <f t="shared" si="1"/>
        <v>43830</v>
      </c>
      <c r="AX2" s="154">
        <f>+EOMONTH(AW2,1)</f>
        <v>43861</v>
      </c>
      <c r="AY2" s="154">
        <f t="shared" si="1"/>
        <v>43890</v>
      </c>
      <c r="AZ2" s="154">
        <f t="shared" si="1"/>
        <v>43921</v>
      </c>
      <c r="BA2" s="154">
        <f>+EOMONTH(AZ2,1)</f>
        <v>43951</v>
      </c>
      <c r="BB2" s="154">
        <f t="shared" si="1"/>
        <v>43982</v>
      </c>
      <c r="BC2" s="154">
        <f t="shared" si="1"/>
        <v>44012</v>
      </c>
      <c r="BD2" s="154">
        <f>+EOMONTH(BC2,1)</f>
        <v>44043</v>
      </c>
      <c r="BE2" s="154">
        <f t="shared" si="1"/>
        <v>44074</v>
      </c>
      <c r="BF2" s="154">
        <f t="shared" si="1"/>
        <v>44104</v>
      </c>
      <c r="BG2" s="154">
        <f>+EOMONTH(BF2,1)</f>
        <v>44135</v>
      </c>
      <c r="BH2" s="154">
        <f t="shared" si="1"/>
        <v>44165</v>
      </c>
      <c r="BI2" s="154">
        <f t="shared" si="1"/>
        <v>44196</v>
      </c>
      <c r="BJ2" s="154">
        <f>+EOMONTH(BI2,1)</f>
        <v>44227</v>
      </c>
      <c r="BK2" s="154">
        <f t="shared" si="1"/>
        <v>44255</v>
      </c>
      <c r="BL2" s="154">
        <f t="shared" si="1"/>
        <v>44286</v>
      </c>
      <c r="BM2" s="154">
        <f>+EOMONTH(BL2,1)</f>
        <v>44316</v>
      </c>
      <c r="BN2" s="154">
        <f t="shared" si="1"/>
        <v>44347</v>
      </c>
      <c r="BO2" s="154">
        <f t="shared" si="1"/>
        <v>44377</v>
      </c>
      <c r="BP2" s="154">
        <f>+EOMONTH(BO2,1)</f>
        <v>44408</v>
      </c>
      <c r="BQ2" s="154">
        <f>+EOMONTH(BP2,1)</f>
        <v>44439</v>
      </c>
      <c r="BR2" s="154">
        <f t="shared" si="1"/>
        <v>44469</v>
      </c>
      <c r="BS2" s="154">
        <f>+EOMONTH(BR2,1)</f>
        <v>44500</v>
      </c>
      <c r="BT2" s="154">
        <f t="shared" si="1"/>
        <v>44530</v>
      </c>
      <c r="BU2" s="154">
        <f t="shared" si="1"/>
        <v>44561</v>
      </c>
      <c r="BV2" s="154">
        <f>+EOMONTH(BU2,1)</f>
        <v>44592</v>
      </c>
      <c r="BW2" s="154">
        <f t="shared" si="1"/>
        <v>44620</v>
      </c>
      <c r="BX2" s="154">
        <f t="shared" si="1"/>
        <v>44651</v>
      </c>
      <c r="BY2" s="154">
        <f>+EOMONTH(BX2,1)</f>
        <v>44681</v>
      </c>
      <c r="BZ2" s="154">
        <f t="shared" si="1"/>
        <v>44712</v>
      </c>
      <c r="CA2" s="154">
        <f t="shared" ref="CA2:CX2" si="2">+EOMONTH(BZ2,1)</f>
        <v>44742</v>
      </c>
      <c r="CB2" s="154">
        <f>+EOMONTH(CA2,1)</f>
        <v>44773</v>
      </c>
      <c r="CC2" s="154">
        <f t="shared" si="2"/>
        <v>44804</v>
      </c>
      <c r="CD2" s="154">
        <f t="shared" si="2"/>
        <v>44834</v>
      </c>
      <c r="CE2" s="154">
        <f>+EOMONTH(CD2,1)</f>
        <v>44865</v>
      </c>
      <c r="CF2" s="154">
        <f t="shared" si="2"/>
        <v>44895</v>
      </c>
      <c r="CG2" s="154">
        <f t="shared" si="2"/>
        <v>44926</v>
      </c>
      <c r="CH2" s="154">
        <f>+EOMONTH(CG2,1)</f>
        <v>44957</v>
      </c>
      <c r="CI2" s="154">
        <f t="shared" si="2"/>
        <v>44985</v>
      </c>
      <c r="CJ2" s="154">
        <f t="shared" si="2"/>
        <v>45016</v>
      </c>
      <c r="CK2" s="154">
        <f>+EOMONTH(CJ2,1)</f>
        <v>45046</v>
      </c>
      <c r="CL2" s="154">
        <f t="shared" si="2"/>
        <v>45077</v>
      </c>
      <c r="CM2" s="154">
        <f t="shared" si="2"/>
        <v>45107</v>
      </c>
      <c r="CN2" s="154">
        <f>+EOMONTH(CM2,1)</f>
        <v>45138</v>
      </c>
      <c r="CO2" s="154">
        <f t="shared" si="2"/>
        <v>45169</v>
      </c>
      <c r="CP2" s="154">
        <f t="shared" si="2"/>
        <v>45199</v>
      </c>
      <c r="CQ2" s="154">
        <f>+EOMONTH(CP2,1)</f>
        <v>45230</v>
      </c>
      <c r="CR2" s="154">
        <f t="shared" si="2"/>
        <v>45260</v>
      </c>
      <c r="CS2" s="154">
        <f t="shared" si="2"/>
        <v>45291</v>
      </c>
      <c r="CT2" s="154">
        <f>+EOMONTH(CS2,1)</f>
        <v>45322</v>
      </c>
      <c r="CU2" s="154">
        <f t="shared" si="2"/>
        <v>45351</v>
      </c>
      <c r="CV2" s="154">
        <f t="shared" si="2"/>
        <v>45382</v>
      </c>
      <c r="CW2" s="154">
        <f>+EOMONTH(CV2,1)</f>
        <v>45412</v>
      </c>
      <c r="CX2" s="154">
        <f t="shared" si="2"/>
        <v>45443</v>
      </c>
      <c r="DE2" s="154">
        <v>42460</v>
      </c>
      <c r="DF2" s="154">
        <f>+EOMONTH(DE2,3)</f>
        <v>42551</v>
      </c>
      <c r="DG2" s="154">
        <f t="shared" ref="DG2:EN2" si="3">+EOMONTH(DF2,3)</f>
        <v>42643</v>
      </c>
      <c r="DH2" s="154">
        <f t="shared" si="3"/>
        <v>42735</v>
      </c>
      <c r="DI2" s="154">
        <f t="shared" si="3"/>
        <v>42825</v>
      </c>
      <c r="DJ2" s="154">
        <f t="shared" si="3"/>
        <v>42916</v>
      </c>
      <c r="DK2" s="154">
        <f t="shared" si="3"/>
        <v>43008</v>
      </c>
      <c r="DL2" s="154">
        <f t="shared" si="3"/>
        <v>43100</v>
      </c>
      <c r="DM2" s="154">
        <f t="shared" si="3"/>
        <v>43190</v>
      </c>
      <c r="DN2" s="154">
        <f t="shared" si="3"/>
        <v>43281</v>
      </c>
      <c r="DO2" s="154">
        <f t="shared" si="3"/>
        <v>43373</v>
      </c>
      <c r="DP2" s="154">
        <f t="shared" si="3"/>
        <v>43465</v>
      </c>
      <c r="DQ2" s="154">
        <f t="shared" si="3"/>
        <v>43555</v>
      </c>
      <c r="DR2" s="154">
        <f t="shared" si="3"/>
        <v>43646</v>
      </c>
      <c r="DS2" s="154">
        <f t="shared" si="3"/>
        <v>43738</v>
      </c>
      <c r="DT2" s="154">
        <f t="shared" si="3"/>
        <v>43830</v>
      </c>
      <c r="DU2" s="154">
        <f t="shared" si="3"/>
        <v>43921</v>
      </c>
      <c r="DV2" s="154">
        <f t="shared" si="3"/>
        <v>44012</v>
      </c>
      <c r="DW2" s="154">
        <f t="shared" si="3"/>
        <v>44104</v>
      </c>
      <c r="DX2" s="154">
        <f t="shared" si="3"/>
        <v>44196</v>
      </c>
      <c r="DY2" s="154">
        <f t="shared" si="3"/>
        <v>44286</v>
      </c>
      <c r="DZ2" s="154">
        <f t="shared" si="3"/>
        <v>44377</v>
      </c>
      <c r="EA2" s="154">
        <f t="shared" si="3"/>
        <v>44469</v>
      </c>
      <c r="EB2" s="154">
        <f t="shared" si="3"/>
        <v>44561</v>
      </c>
      <c r="EC2" s="154">
        <f t="shared" si="3"/>
        <v>44651</v>
      </c>
      <c r="ED2" s="154">
        <f t="shared" si="3"/>
        <v>44742</v>
      </c>
      <c r="EE2" s="154">
        <f t="shared" si="3"/>
        <v>44834</v>
      </c>
      <c r="EF2" s="154">
        <f t="shared" si="3"/>
        <v>44926</v>
      </c>
      <c r="EG2" s="154">
        <f t="shared" si="3"/>
        <v>45016</v>
      </c>
      <c r="EH2" s="154">
        <f t="shared" si="3"/>
        <v>45107</v>
      </c>
      <c r="EI2" s="154">
        <f t="shared" si="3"/>
        <v>45199</v>
      </c>
      <c r="EJ2" s="154">
        <f t="shared" si="3"/>
        <v>45291</v>
      </c>
      <c r="EK2" s="154">
        <f t="shared" si="3"/>
        <v>45382</v>
      </c>
      <c r="EL2" s="154">
        <f t="shared" si="3"/>
        <v>45473</v>
      </c>
      <c r="EM2" s="154">
        <f t="shared" si="3"/>
        <v>45565</v>
      </c>
      <c r="EN2" s="154">
        <f t="shared" si="3"/>
        <v>45657</v>
      </c>
    </row>
    <row r="3" spans="1:144">
      <c r="A3" s="94" t="s">
        <v>440</v>
      </c>
      <c r="B3" s="164">
        <v>89.3863813931126</v>
      </c>
      <c r="C3" s="165">
        <v>89.7777811166536</v>
      </c>
      <c r="D3" s="164">
        <v>89.910000600997606</v>
      </c>
      <c r="E3" s="165">
        <v>89.625277961415904</v>
      </c>
      <c r="F3" s="164">
        <v>89.225614520103406</v>
      </c>
      <c r="G3" s="165">
        <v>89.324027886291205</v>
      </c>
      <c r="H3" s="164">
        <v>89.556914478033505</v>
      </c>
      <c r="I3" s="165">
        <v>89.809333493599397</v>
      </c>
      <c r="J3" s="164">
        <v>90.357743854798997</v>
      </c>
      <c r="K3" s="165">
        <v>90.906154215998598</v>
      </c>
      <c r="L3" s="164">
        <v>91.616833944347604</v>
      </c>
      <c r="M3" s="165">
        <v>92.039034797764302</v>
      </c>
      <c r="N3" s="164">
        <v>93.603882444858499</v>
      </c>
      <c r="O3" s="165">
        <v>94.1447803353567</v>
      </c>
      <c r="P3" s="164">
        <v>94.722489332291602</v>
      </c>
      <c r="Q3" s="165">
        <v>94.838932628162794</v>
      </c>
      <c r="R3" s="164">
        <v>94.725494320572096</v>
      </c>
      <c r="S3" s="165">
        <v>94.963639641805401</v>
      </c>
      <c r="T3" s="164">
        <v>95.322735741330604</v>
      </c>
      <c r="U3" s="165">
        <v>95.793767654306095</v>
      </c>
      <c r="V3" s="164">
        <v>96.093515235290596</v>
      </c>
      <c r="W3" s="165">
        <v>96.698269126750404</v>
      </c>
      <c r="X3" s="164">
        <v>97.695173988821495</v>
      </c>
      <c r="Y3" s="165">
        <v>98.272882985756297</v>
      </c>
      <c r="Z3" s="164">
        <v>98.794999699501204</v>
      </c>
      <c r="AA3" s="165">
        <v>99.171374481639504</v>
      </c>
      <c r="AB3" s="164">
        <v>99.492156980587794</v>
      </c>
      <c r="AC3" s="165">
        <v>99.154847046096506</v>
      </c>
      <c r="AD3" s="164">
        <v>98.994080173087298</v>
      </c>
      <c r="AE3" s="165">
        <v>99.376464931786799</v>
      </c>
      <c r="AF3" s="164">
        <v>99.909099104513501</v>
      </c>
      <c r="AG3" s="165">
        <v>100.492</v>
      </c>
      <c r="AH3" s="164">
        <v>100.917</v>
      </c>
      <c r="AI3" s="165">
        <v>101.44</v>
      </c>
      <c r="AJ3" s="164">
        <v>102.303</v>
      </c>
      <c r="AK3" s="165">
        <v>103.02</v>
      </c>
      <c r="AL3" s="164">
        <v>103.108</v>
      </c>
      <c r="AM3" s="165">
        <v>103.07899999999999</v>
      </c>
      <c r="AN3" s="164">
        <v>103.476</v>
      </c>
      <c r="AO3" s="165">
        <v>103.53100000000001</v>
      </c>
      <c r="AP3" s="164">
        <v>103.233</v>
      </c>
      <c r="AQ3" s="165">
        <v>103.29900000000001</v>
      </c>
      <c r="AR3" s="164">
        <v>103.687</v>
      </c>
      <c r="AS3" s="165">
        <v>103.67</v>
      </c>
      <c r="AT3" s="164">
        <v>103.94199999999999</v>
      </c>
      <c r="AU3" s="165">
        <v>104.503</v>
      </c>
      <c r="AV3" s="164">
        <v>105.346</v>
      </c>
      <c r="AW3" s="165">
        <v>105.934</v>
      </c>
      <c r="AX3" s="164">
        <v>106.447</v>
      </c>
      <c r="AY3" s="165">
        <v>106.889</v>
      </c>
      <c r="AZ3" s="164">
        <v>106.83799999999999</v>
      </c>
      <c r="BA3" s="165">
        <v>105.755</v>
      </c>
      <c r="BB3" s="164">
        <v>106.16200000000001</v>
      </c>
      <c r="BC3" s="165">
        <v>106.74299999999999</v>
      </c>
      <c r="BD3" s="164">
        <v>107.444</v>
      </c>
      <c r="BE3" s="165">
        <v>107.867</v>
      </c>
      <c r="BF3" s="164">
        <v>108.114</v>
      </c>
      <c r="BG3" s="165">
        <v>108.774</v>
      </c>
      <c r="BH3" s="164">
        <v>108.85599999999999</v>
      </c>
      <c r="BI3" s="165">
        <v>109.271</v>
      </c>
      <c r="BJ3" s="164">
        <v>110.21</v>
      </c>
      <c r="BK3" s="165">
        <v>110.907</v>
      </c>
      <c r="BL3" s="164">
        <v>111.824</v>
      </c>
      <c r="BM3" s="165">
        <v>112.19</v>
      </c>
      <c r="BN3" s="164">
        <v>112.419</v>
      </c>
      <c r="BO3" s="165">
        <v>113.018</v>
      </c>
      <c r="BP3" s="164">
        <v>113.682</v>
      </c>
      <c r="BQ3" s="165">
        <v>113.899</v>
      </c>
      <c r="BR3" s="164">
        <v>114.601</v>
      </c>
      <c r="BS3" s="165">
        <v>115.56100000000001</v>
      </c>
      <c r="BT3" s="164">
        <v>116.884</v>
      </c>
      <c r="BU3" s="165">
        <v>117.30800000000001</v>
      </c>
      <c r="BV3" s="164">
        <v>118.002</v>
      </c>
      <c r="BW3" s="165">
        <v>118.98099999999999</v>
      </c>
      <c r="BX3" s="164">
        <v>120.15900000000001</v>
      </c>
      <c r="BY3" s="165">
        <v>120.809</v>
      </c>
      <c r="BZ3" s="164">
        <v>121.02200000000001</v>
      </c>
      <c r="CA3" s="165">
        <v>122.044</v>
      </c>
      <c r="CB3" s="164">
        <v>122.94799999999999</v>
      </c>
      <c r="CC3" s="165">
        <v>123.803</v>
      </c>
      <c r="CD3" s="164">
        <v>124.571</v>
      </c>
      <c r="CE3" s="408">
        <v>125.276</v>
      </c>
      <c r="CF3" s="409">
        <v>125.997</v>
      </c>
      <c r="CG3" s="408">
        <v>126.47799999999999</v>
      </c>
      <c r="CH3" s="409">
        <v>127.336</v>
      </c>
      <c r="CI3" s="408">
        <v>128.04599999999999</v>
      </c>
      <c r="CJ3" s="409">
        <v>128.38900000000001</v>
      </c>
      <c r="CK3" s="408">
        <v>128.363</v>
      </c>
      <c r="CL3" s="409">
        <v>128.084</v>
      </c>
      <c r="CM3" s="408">
        <v>128.214</v>
      </c>
      <c r="CN3" s="409">
        <v>128.83199999999999</v>
      </c>
      <c r="CO3" s="408">
        <v>129.54499999999999</v>
      </c>
      <c r="CP3" s="409">
        <v>130.12</v>
      </c>
      <c r="CQ3" s="408">
        <v>130.60900000000001</v>
      </c>
      <c r="CR3" s="409">
        <v>131.44499999999999</v>
      </c>
      <c r="CS3" s="408">
        <v>132.37299999999999</v>
      </c>
      <c r="CT3" s="409">
        <v>133.55500000000001</v>
      </c>
      <c r="CU3" s="408">
        <v>133.68100000000001</v>
      </c>
      <c r="CV3" s="409">
        <v>134.065</v>
      </c>
      <c r="CW3" s="408">
        <v>134.33600000000001</v>
      </c>
      <c r="CX3" s="409">
        <v>134.08699999999999</v>
      </c>
      <c r="DE3" s="163">
        <f>+SUMIF($B$2:$CX$2,DE$2,$B3:$CX3)</f>
        <v>89.910000600997606</v>
      </c>
      <c r="DF3" s="163">
        <f t="shared" ref="DF3:EN6" si="4">+SUMIF($B$2:$CX$2,DF$2,$B3:$CX3)</f>
        <v>89.324027886291205</v>
      </c>
      <c r="DG3" s="163">
        <f t="shared" si="4"/>
        <v>90.357743854798997</v>
      </c>
      <c r="DH3" s="163">
        <f t="shared" si="4"/>
        <v>92.039034797764302</v>
      </c>
      <c r="DI3" s="163">
        <f t="shared" si="4"/>
        <v>94.722489332291602</v>
      </c>
      <c r="DJ3" s="163">
        <f t="shared" si="4"/>
        <v>94.963639641805401</v>
      </c>
      <c r="DK3" s="163">
        <f t="shared" si="4"/>
        <v>96.093515235290596</v>
      </c>
      <c r="DL3" s="163">
        <f t="shared" si="4"/>
        <v>98.272882985756297</v>
      </c>
      <c r="DM3" s="163">
        <f t="shared" si="4"/>
        <v>99.492156980587794</v>
      </c>
      <c r="DN3" s="163">
        <f t="shared" si="4"/>
        <v>99.376464931786799</v>
      </c>
      <c r="DO3" s="163">
        <f t="shared" si="4"/>
        <v>100.917</v>
      </c>
      <c r="DP3" s="163">
        <f t="shared" si="4"/>
        <v>103.02</v>
      </c>
      <c r="DQ3" s="163">
        <f t="shared" si="4"/>
        <v>103.476</v>
      </c>
      <c r="DR3" s="163">
        <f t="shared" si="4"/>
        <v>103.29900000000001</v>
      </c>
      <c r="DS3" s="163">
        <f t="shared" si="4"/>
        <v>103.94199999999999</v>
      </c>
      <c r="DT3" s="163">
        <f t="shared" si="4"/>
        <v>105.934</v>
      </c>
      <c r="DU3" s="163">
        <f t="shared" si="4"/>
        <v>106.83799999999999</v>
      </c>
      <c r="DV3" s="163">
        <f t="shared" si="4"/>
        <v>106.74299999999999</v>
      </c>
      <c r="DW3" s="163">
        <f t="shared" si="4"/>
        <v>108.114</v>
      </c>
      <c r="DX3" s="163">
        <f t="shared" si="4"/>
        <v>109.271</v>
      </c>
      <c r="DY3" s="163">
        <f t="shared" si="4"/>
        <v>111.824</v>
      </c>
      <c r="DZ3" s="163">
        <f t="shared" si="4"/>
        <v>113.018</v>
      </c>
      <c r="EA3" s="163">
        <f t="shared" si="4"/>
        <v>114.601</v>
      </c>
      <c r="EB3" s="163">
        <f t="shared" si="4"/>
        <v>117.30800000000001</v>
      </c>
      <c r="EC3" s="163">
        <f t="shared" si="4"/>
        <v>120.15900000000001</v>
      </c>
      <c r="ED3" s="163">
        <f t="shared" si="4"/>
        <v>122.044</v>
      </c>
      <c r="EE3" s="163">
        <f t="shared" si="4"/>
        <v>124.571</v>
      </c>
      <c r="EF3" s="163">
        <f t="shared" si="4"/>
        <v>126.47799999999999</v>
      </c>
      <c r="EG3" s="163">
        <f t="shared" si="4"/>
        <v>128.38900000000001</v>
      </c>
      <c r="EH3" s="163">
        <f t="shared" si="4"/>
        <v>128.214</v>
      </c>
      <c r="EI3" s="163">
        <f t="shared" si="4"/>
        <v>130.12</v>
      </c>
      <c r="EJ3" s="163">
        <f t="shared" si="4"/>
        <v>132.37299999999999</v>
      </c>
      <c r="EK3" s="163">
        <f t="shared" si="4"/>
        <v>134.065</v>
      </c>
      <c r="EL3" s="163">
        <f t="shared" si="4"/>
        <v>0</v>
      </c>
      <c r="EM3" s="163">
        <f t="shared" si="4"/>
        <v>0</v>
      </c>
      <c r="EN3" s="163">
        <f t="shared" si="4"/>
        <v>0</v>
      </c>
    </row>
    <row r="4" spans="1:144">
      <c r="A4" s="94" t="s">
        <v>441</v>
      </c>
      <c r="B4" s="164">
        <v>88.734323624672598</v>
      </c>
      <c r="C4" s="165">
        <v>89.164402715754804</v>
      </c>
      <c r="D4" s="164">
        <v>89.469497732491206</v>
      </c>
      <c r="E4" s="165">
        <v>89.841149728405696</v>
      </c>
      <c r="F4" s="164">
        <v>90.071026936838607</v>
      </c>
      <c r="G4" s="165">
        <v>90.315737212163697</v>
      </c>
      <c r="H4" s="164">
        <v>90.347007172286695</v>
      </c>
      <c r="I4" s="165">
        <v>90.697777068591193</v>
      </c>
      <c r="J4" s="164">
        <v>91.290022622394304</v>
      </c>
      <c r="K4" s="165">
        <v>91.659428302538203</v>
      </c>
      <c r="L4" s="164">
        <v>91.774456286108204</v>
      </c>
      <c r="M4" s="165">
        <v>92.092185618980395</v>
      </c>
      <c r="N4" s="164">
        <v>92.9465884671895</v>
      </c>
      <c r="O4" s="165">
        <v>93.973677042178394</v>
      </c>
      <c r="P4" s="164">
        <v>94.703344444839004</v>
      </c>
      <c r="Q4" s="165">
        <v>95.275811119748198</v>
      </c>
      <c r="R4" s="164">
        <v>95.732580382671898</v>
      </c>
      <c r="S4" s="165">
        <v>96.035398520053405</v>
      </c>
      <c r="T4" s="164">
        <v>96.148067387848599</v>
      </c>
      <c r="U4" s="165">
        <v>96.602616919583795</v>
      </c>
      <c r="V4" s="164">
        <v>96.921027228887098</v>
      </c>
      <c r="W4" s="165">
        <v>97.129932763972306</v>
      </c>
      <c r="X4" s="164">
        <v>97.455970449271703</v>
      </c>
      <c r="Y4" s="165">
        <v>97.770868100581396</v>
      </c>
      <c r="Z4" s="164">
        <v>98.3164887855405</v>
      </c>
      <c r="AA4" s="165">
        <v>98.844302436868304</v>
      </c>
      <c r="AB4" s="164">
        <v>99.095027245711194</v>
      </c>
      <c r="AC4" s="165">
        <v>99.423920786792806</v>
      </c>
      <c r="AD4" s="164">
        <v>99.632916619477299</v>
      </c>
      <c r="AE4" s="165">
        <v>99.761245169838503</v>
      </c>
      <c r="AF4" s="164">
        <v>99.9851658707979</v>
      </c>
      <c r="AG4" s="165">
        <v>100.3712149931</v>
      </c>
      <c r="AH4" s="164">
        <v>100.75322804220001</v>
      </c>
      <c r="AI4" s="165">
        <v>100.99404057220001</v>
      </c>
      <c r="AJ4" s="164">
        <v>101.2605878813</v>
      </c>
      <c r="AK4" s="165">
        <v>101.60289070419999</v>
      </c>
      <c r="AL4" s="164">
        <v>101.9139077002</v>
      </c>
      <c r="AM4" s="165">
        <v>102.4166959094</v>
      </c>
      <c r="AN4" s="164">
        <v>102.7668886683</v>
      </c>
      <c r="AO4" s="165">
        <v>103.14013400890001</v>
      </c>
      <c r="AP4" s="164">
        <v>103.4359887502</v>
      </c>
      <c r="AQ4" s="165">
        <v>103.67494592520001</v>
      </c>
      <c r="AR4" s="164">
        <v>103.8308325223</v>
      </c>
      <c r="AS4" s="165">
        <v>104.14627137230001</v>
      </c>
      <c r="AT4" s="164">
        <v>104.5469023847</v>
      </c>
      <c r="AU4" s="165">
        <v>104.81493587520001</v>
      </c>
      <c r="AV4" s="164">
        <v>104.94017623480001</v>
      </c>
      <c r="AW4" s="165">
        <v>105.2163448694</v>
      </c>
      <c r="AX4" s="164">
        <v>105.91202504589999</v>
      </c>
      <c r="AY4" s="165">
        <v>106.33026798509999</v>
      </c>
      <c r="AZ4" s="164">
        <v>106.7060405548</v>
      </c>
      <c r="BA4" s="165">
        <v>107.38261803330001</v>
      </c>
      <c r="BB4" s="164">
        <v>107.8813863882</v>
      </c>
      <c r="BC4" s="165">
        <v>108.5327339713</v>
      </c>
      <c r="BD4" s="164">
        <v>109.22378327440001</v>
      </c>
      <c r="BE4" s="165">
        <v>109.73238854</v>
      </c>
      <c r="BF4" s="164">
        <v>110.1923293034</v>
      </c>
      <c r="BG4" s="165">
        <v>110.5150064612</v>
      </c>
      <c r="BH4" s="164">
        <v>110.176590648</v>
      </c>
      <c r="BI4" s="165">
        <v>111.0250530065</v>
      </c>
      <c r="BJ4" s="164">
        <v>111.6368214827</v>
      </c>
      <c r="BK4" s="165">
        <v>112.2158908525</v>
      </c>
      <c r="BL4" s="164">
        <v>112.88745493099999</v>
      </c>
      <c r="BM4" s="165">
        <v>113.3890684551</v>
      </c>
      <c r="BN4" s="164">
        <v>114.0914770803</v>
      </c>
      <c r="BO4" s="165">
        <v>114.8335563302</v>
      </c>
      <c r="BP4" s="164">
        <v>115.4941159398</v>
      </c>
      <c r="BQ4" s="165">
        <v>116.3032075696</v>
      </c>
      <c r="BR4" s="164">
        <v>117.0902617837</v>
      </c>
      <c r="BS4" s="165">
        <v>117.78810553140001</v>
      </c>
      <c r="BT4" s="164">
        <v>118.1569167704</v>
      </c>
      <c r="BU4" s="165">
        <v>119.2364344229</v>
      </c>
      <c r="BV4" s="164">
        <v>120.4154640182</v>
      </c>
      <c r="BW4" s="165">
        <v>121.5769814313</v>
      </c>
      <c r="BX4" s="164">
        <v>122.7028388184</v>
      </c>
      <c r="BY4" s="165">
        <v>123.9638045863</v>
      </c>
      <c r="BZ4" s="164">
        <v>124.96609345970001</v>
      </c>
      <c r="CA4" s="165">
        <v>126.2179439423</v>
      </c>
      <c r="CB4" s="164">
        <v>127.1298632573</v>
      </c>
      <c r="CC4" s="165">
        <v>128.57722029429999</v>
      </c>
      <c r="CD4" s="164">
        <v>129.78070664399999</v>
      </c>
      <c r="CE4" s="408">
        <v>130.91599589629999</v>
      </c>
      <c r="CF4" s="409">
        <v>131.48054986029999</v>
      </c>
      <c r="CG4" s="408">
        <v>132.4546216661</v>
      </c>
      <c r="CH4" s="409">
        <v>133.6555010607</v>
      </c>
      <c r="CI4" s="408">
        <v>134.5243840512</v>
      </c>
      <c r="CJ4" s="409">
        <v>135.1244558887</v>
      </c>
      <c r="CK4" s="408">
        <v>135.79430571590001</v>
      </c>
      <c r="CL4" s="409">
        <v>136.2678729516</v>
      </c>
      <c r="CM4" s="408">
        <v>136.64897112630001</v>
      </c>
      <c r="CN4" s="409">
        <v>137.07168654169999</v>
      </c>
      <c r="CO4" s="408">
        <v>137.4003326305</v>
      </c>
      <c r="CP4" s="409">
        <v>137.82288056339999</v>
      </c>
      <c r="CQ4" s="408">
        <v>138.293379652</v>
      </c>
      <c r="CR4" s="409">
        <v>138.48524503230001</v>
      </c>
      <c r="CS4" s="408">
        <v>138.92843397359999</v>
      </c>
      <c r="CT4" s="409">
        <v>139.49235551949999</v>
      </c>
      <c r="CU4" s="408">
        <v>140.0519061549</v>
      </c>
      <c r="CV4" s="409">
        <v>140.36585602759999</v>
      </c>
      <c r="CW4" s="408">
        <v>140.78102739190001</v>
      </c>
      <c r="CX4" s="409">
        <v>140.87918596719999</v>
      </c>
      <c r="DE4" s="163">
        <f>+SUMIF($B$2:$CX$2,DE$2,$B4:$CX4)</f>
        <v>89.469497732491206</v>
      </c>
      <c r="DF4" s="163">
        <f t="shared" ref="DF4:DT4" si="5">+SUMIF($B$2:$CX$2,DF$2,$B4:$CX4)</f>
        <v>90.315737212163697</v>
      </c>
      <c r="DG4" s="163">
        <f t="shared" si="5"/>
        <v>91.290022622394304</v>
      </c>
      <c r="DH4" s="163">
        <f t="shared" si="5"/>
        <v>92.092185618980395</v>
      </c>
      <c r="DI4" s="163">
        <f t="shared" si="5"/>
        <v>94.703344444839004</v>
      </c>
      <c r="DJ4" s="163">
        <f t="shared" si="5"/>
        <v>96.035398520053405</v>
      </c>
      <c r="DK4" s="163">
        <f t="shared" si="5"/>
        <v>96.921027228887098</v>
      </c>
      <c r="DL4" s="163">
        <f t="shared" si="5"/>
        <v>97.770868100581396</v>
      </c>
      <c r="DM4" s="163">
        <f t="shared" si="5"/>
        <v>99.095027245711194</v>
      </c>
      <c r="DN4" s="163">
        <f t="shared" si="5"/>
        <v>99.761245169838503</v>
      </c>
      <c r="DO4" s="163">
        <f t="shared" si="5"/>
        <v>100.75322804220001</v>
      </c>
      <c r="DP4" s="163">
        <f t="shared" si="5"/>
        <v>101.60289070419999</v>
      </c>
      <c r="DQ4" s="163">
        <f t="shared" si="5"/>
        <v>102.7668886683</v>
      </c>
      <c r="DR4" s="163">
        <f t="shared" si="5"/>
        <v>103.67494592520001</v>
      </c>
      <c r="DS4" s="163">
        <f t="shared" si="5"/>
        <v>104.5469023847</v>
      </c>
      <c r="DT4" s="163">
        <f t="shared" si="5"/>
        <v>105.2163448694</v>
      </c>
      <c r="DU4" s="163">
        <f t="shared" si="4"/>
        <v>106.7060405548</v>
      </c>
      <c r="DV4" s="163">
        <f t="shared" si="4"/>
        <v>108.5327339713</v>
      </c>
      <c r="DW4" s="163">
        <f t="shared" si="4"/>
        <v>110.1923293034</v>
      </c>
      <c r="DX4" s="163">
        <f t="shared" si="4"/>
        <v>111.0250530065</v>
      </c>
      <c r="DY4" s="163">
        <f t="shared" si="4"/>
        <v>112.88745493099999</v>
      </c>
      <c r="DZ4" s="163">
        <f t="shared" si="4"/>
        <v>114.8335563302</v>
      </c>
      <c r="EA4" s="163">
        <f t="shared" si="4"/>
        <v>117.0902617837</v>
      </c>
      <c r="EB4" s="163">
        <f t="shared" si="4"/>
        <v>119.2364344229</v>
      </c>
      <c r="EC4" s="163">
        <f t="shared" si="4"/>
        <v>122.7028388184</v>
      </c>
      <c r="ED4" s="163">
        <f t="shared" si="4"/>
        <v>126.2179439423</v>
      </c>
      <c r="EE4" s="163">
        <f t="shared" si="4"/>
        <v>129.78070664399999</v>
      </c>
      <c r="EF4" s="163">
        <f t="shared" si="4"/>
        <v>132.4546216661</v>
      </c>
      <c r="EG4" s="163">
        <f t="shared" si="4"/>
        <v>135.1244558887</v>
      </c>
      <c r="EH4" s="163">
        <f t="shared" si="4"/>
        <v>136.64897112630001</v>
      </c>
      <c r="EI4" s="163">
        <f t="shared" si="4"/>
        <v>137.82288056339999</v>
      </c>
      <c r="EJ4" s="163">
        <f t="shared" si="4"/>
        <v>138.92843397359999</v>
      </c>
      <c r="EK4" s="163">
        <f t="shared" si="4"/>
        <v>140.36585602759999</v>
      </c>
      <c r="EL4" s="163">
        <f t="shared" si="4"/>
        <v>0</v>
      </c>
      <c r="EM4" s="163">
        <f t="shared" si="4"/>
        <v>0</v>
      </c>
      <c r="EN4" s="163">
        <f t="shared" si="4"/>
        <v>0</v>
      </c>
    </row>
    <row r="5" spans="1:144">
      <c r="A5" s="94" t="s">
        <v>442</v>
      </c>
      <c r="B5" s="164">
        <v>87.528110581700602</v>
      </c>
      <c r="C5" s="165">
        <v>87.769607448790197</v>
      </c>
      <c r="D5" s="164">
        <v>88.061215515584905</v>
      </c>
      <c r="E5" s="165">
        <v>88.391465620654898</v>
      </c>
      <c r="F5" s="164">
        <v>88.786227859699494</v>
      </c>
      <c r="G5" s="165">
        <v>89.100355650226305</v>
      </c>
      <c r="H5" s="164">
        <v>89.169531580923405</v>
      </c>
      <c r="I5" s="165">
        <v>89.234415432016505</v>
      </c>
      <c r="J5" s="164">
        <v>89.827535418437805</v>
      </c>
      <c r="K5" s="165">
        <v>90.281018044320007</v>
      </c>
      <c r="L5" s="164">
        <v>90.557126769598696</v>
      </c>
      <c r="M5" s="165">
        <v>91.045767995605203</v>
      </c>
      <c r="N5" s="164">
        <v>92.142297008341401</v>
      </c>
      <c r="O5" s="165">
        <v>93.064929254959907</v>
      </c>
      <c r="P5" s="164">
        <v>93.777575548063794</v>
      </c>
      <c r="Q5" s="165">
        <v>94.378879571436002</v>
      </c>
      <c r="R5" s="164">
        <v>94.808510508744106</v>
      </c>
      <c r="S5" s="165">
        <v>95.251696989610295</v>
      </c>
      <c r="T5" s="164">
        <v>95.634984459977403</v>
      </c>
      <c r="U5" s="165">
        <v>95.991444023309697</v>
      </c>
      <c r="V5" s="164">
        <v>96.157514693249993</v>
      </c>
      <c r="W5" s="165">
        <v>96.359369453482699</v>
      </c>
      <c r="X5" s="164">
        <v>96.751387725194306</v>
      </c>
      <c r="Y5" s="165">
        <v>97.254010224907304</v>
      </c>
      <c r="Z5" s="164">
        <v>98.1292618755852</v>
      </c>
      <c r="AA5" s="165">
        <v>98.616312621931797</v>
      </c>
      <c r="AB5" s="164">
        <v>98.793505898234301</v>
      </c>
      <c r="AC5" s="165">
        <v>99.001108384959494</v>
      </c>
      <c r="AD5" s="164">
        <v>99.294080386309204</v>
      </c>
      <c r="AE5" s="165">
        <v>99.530589667891405</v>
      </c>
      <c r="AF5" s="164">
        <v>99.951372163251506</v>
      </c>
      <c r="AG5" s="165">
        <v>100.3623644011</v>
      </c>
      <c r="AH5" s="164">
        <v>100.77115058299999</v>
      </c>
      <c r="AI5" s="165">
        <v>101.02771475980001</v>
      </c>
      <c r="AJ5" s="164">
        <v>101.38681410620001</v>
      </c>
      <c r="AK5" s="165">
        <v>101.8542021671</v>
      </c>
      <c r="AL5" s="164">
        <v>102.34464840939999</v>
      </c>
      <c r="AM5" s="165">
        <v>102.89835071989999</v>
      </c>
      <c r="AN5" s="164">
        <v>103.2937059164</v>
      </c>
      <c r="AO5" s="165">
        <v>103.7054242346</v>
      </c>
      <c r="AP5" s="164">
        <v>104.14055596759999</v>
      </c>
      <c r="AQ5" s="165">
        <v>104.5136755278</v>
      </c>
      <c r="AR5" s="164">
        <v>104.816924837</v>
      </c>
      <c r="AS5" s="165">
        <v>105.0073897636</v>
      </c>
      <c r="AT5" s="164">
        <v>105.4157521276</v>
      </c>
      <c r="AU5" s="165">
        <v>105.7475867654</v>
      </c>
      <c r="AV5" s="164">
        <v>106.0072027938</v>
      </c>
      <c r="AW5" s="165">
        <v>106.38195205709999</v>
      </c>
      <c r="AX5" s="164">
        <v>107.5603410785</v>
      </c>
      <c r="AY5" s="165">
        <v>108.0329671523</v>
      </c>
      <c r="AZ5" s="164">
        <v>108.5144161824</v>
      </c>
      <c r="BA5" s="165">
        <v>109.70428241099999</v>
      </c>
      <c r="BB5" s="164">
        <v>110.98914365429999</v>
      </c>
      <c r="BC5" s="165">
        <v>111.3986328134</v>
      </c>
      <c r="BD5" s="164">
        <v>112.0397199576</v>
      </c>
      <c r="BE5" s="165">
        <v>112.39727747880001</v>
      </c>
      <c r="BF5" s="164">
        <v>112.78184643269999</v>
      </c>
      <c r="BG5" s="165">
        <v>113.07176009050001</v>
      </c>
      <c r="BH5" s="164">
        <v>113.20832115730001</v>
      </c>
      <c r="BI5" s="165">
        <v>113.62066981389999</v>
      </c>
      <c r="BJ5" s="164">
        <v>114.4009685353</v>
      </c>
      <c r="BK5" s="165">
        <v>114.885542337</v>
      </c>
      <c r="BL5" s="164">
        <v>115.55152242520001</v>
      </c>
      <c r="BM5" s="165">
        <v>116.149760254</v>
      </c>
      <c r="BN5" s="164">
        <v>117.0871430225</v>
      </c>
      <c r="BO5" s="165">
        <v>117.9777630097</v>
      </c>
      <c r="BP5" s="164">
        <v>118.9162913695</v>
      </c>
      <c r="BQ5" s="165">
        <v>119.71421980789999</v>
      </c>
      <c r="BR5" s="164">
        <v>120.52566164850001</v>
      </c>
      <c r="BS5" s="165">
        <v>121.1677404947</v>
      </c>
      <c r="BT5" s="164">
        <v>121.799433192</v>
      </c>
      <c r="BU5" s="165">
        <v>122.83292549079999</v>
      </c>
      <c r="BV5" s="164">
        <v>124.4224362746</v>
      </c>
      <c r="BW5" s="165">
        <v>125.686362046</v>
      </c>
      <c r="BX5" s="164">
        <v>127.19654666</v>
      </c>
      <c r="BY5" s="165">
        <v>128.79072154990001</v>
      </c>
      <c r="BZ5" s="164">
        <v>130.28123355130001</v>
      </c>
      <c r="CA5" s="165">
        <v>131.94506752460001</v>
      </c>
      <c r="CB5" s="164">
        <v>133.29239620210001</v>
      </c>
      <c r="CC5" s="165">
        <v>135.2002010711</v>
      </c>
      <c r="CD5" s="164">
        <v>136.65643011649999</v>
      </c>
      <c r="CE5" s="408">
        <v>138.07014643860001</v>
      </c>
      <c r="CF5" s="409">
        <v>138.96299769999999</v>
      </c>
      <c r="CG5" s="408">
        <v>140.19743471129999</v>
      </c>
      <c r="CH5" s="409">
        <v>141.9456256606</v>
      </c>
      <c r="CI5" s="408">
        <v>142.9098728788</v>
      </c>
      <c r="CJ5" s="409">
        <v>143.66300048689999</v>
      </c>
      <c r="CK5" s="408">
        <v>144.42992846440001</v>
      </c>
      <c r="CL5" s="409">
        <v>145.1837810584</v>
      </c>
      <c r="CM5" s="408">
        <v>145.79021731770001</v>
      </c>
      <c r="CN5" s="409">
        <v>146.3431792451</v>
      </c>
      <c r="CO5" s="408">
        <v>146.60501335679999</v>
      </c>
      <c r="CP5" s="409">
        <v>147.0043585924</v>
      </c>
      <c r="CQ5" s="408">
        <v>147.6719392649</v>
      </c>
      <c r="CR5" s="409">
        <v>148.3824344489</v>
      </c>
      <c r="CS5" s="408">
        <v>148.96018487640001</v>
      </c>
      <c r="CT5" s="409">
        <v>149.80943899530001</v>
      </c>
      <c r="CU5" s="408">
        <v>150.41277337290001</v>
      </c>
      <c r="CV5" s="409">
        <v>150.86100465780001</v>
      </c>
      <c r="CW5" s="408">
        <v>151.3415581399</v>
      </c>
      <c r="CX5" s="409">
        <v>151.70947579369999</v>
      </c>
      <c r="DE5" s="163">
        <f>+SUMIF($B$2:$CX$2,DE$2,$B5:$CX5)</f>
        <v>88.061215515584905</v>
      </c>
      <c r="DF5" s="163">
        <f t="shared" si="4"/>
        <v>89.100355650226305</v>
      </c>
      <c r="DG5" s="163">
        <f t="shared" si="4"/>
        <v>89.827535418437805</v>
      </c>
      <c r="DH5" s="163">
        <f t="shared" si="4"/>
        <v>91.045767995605203</v>
      </c>
      <c r="DI5" s="163">
        <f t="shared" si="4"/>
        <v>93.777575548063794</v>
      </c>
      <c r="DJ5" s="163">
        <f t="shared" si="4"/>
        <v>95.251696989610295</v>
      </c>
      <c r="DK5" s="163">
        <f t="shared" si="4"/>
        <v>96.157514693249993</v>
      </c>
      <c r="DL5" s="163">
        <f t="shared" si="4"/>
        <v>97.254010224907304</v>
      </c>
      <c r="DM5" s="163">
        <f t="shared" si="4"/>
        <v>98.793505898234301</v>
      </c>
      <c r="DN5" s="163">
        <f t="shared" si="4"/>
        <v>99.530589667891405</v>
      </c>
      <c r="DO5" s="163">
        <f t="shared" si="4"/>
        <v>100.77115058299999</v>
      </c>
      <c r="DP5" s="163">
        <f t="shared" si="4"/>
        <v>101.8542021671</v>
      </c>
      <c r="DQ5" s="163">
        <f t="shared" si="4"/>
        <v>103.2937059164</v>
      </c>
      <c r="DR5" s="163">
        <f t="shared" si="4"/>
        <v>104.5136755278</v>
      </c>
      <c r="DS5" s="163">
        <f t="shared" si="4"/>
        <v>105.4157521276</v>
      </c>
      <c r="DT5" s="163">
        <f t="shared" si="4"/>
        <v>106.38195205709999</v>
      </c>
      <c r="DU5" s="163">
        <f t="shared" si="4"/>
        <v>108.5144161824</v>
      </c>
      <c r="DV5" s="163">
        <f t="shared" si="4"/>
        <v>111.3986328134</v>
      </c>
      <c r="DW5" s="163">
        <f t="shared" si="4"/>
        <v>112.78184643269999</v>
      </c>
      <c r="DX5" s="163">
        <f t="shared" si="4"/>
        <v>113.62066981389999</v>
      </c>
      <c r="DY5" s="163">
        <f t="shared" si="4"/>
        <v>115.55152242520001</v>
      </c>
      <c r="DZ5" s="163">
        <f t="shared" si="4"/>
        <v>117.9777630097</v>
      </c>
      <c r="EA5" s="163">
        <f t="shared" si="4"/>
        <v>120.52566164850001</v>
      </c>
      <c r="EB5" s="163">
        <f t="shared" si="4"/>
        <v>122.83292549079999</v>
      </c>
      <c r="EC5" s="163">
        <f t="shared" si="4"/>
        <v>127.19654666</v>
      </c>
      <c r="ED5" s="163">
        <f t="shared" si="4"/>
        <v>131.94506752460001</v>
      </c>
      <c r="EE5" s="163">
        <f t="shared" si="4"/>
        <v>136.65643011649999</v>
      </c>
      <c r="EF5" s="163">
        <f t="shared" si="4"/>
        <v>140.19743471129999</v>
      </c>
      <c r="EG5" s="163">
        <f t="shared" si="4"/>
        <v>143.66300048689999</v>
      </c>
      <c r="EH5" s="163">
        <f t="shared" si="4"/>
        <v>145.79021731770001</v>
      </c>
      <c r="EI5" s="163">
        <f t="shared" si="4"/>
        <v>147.0043585924</v>
      </c>
      <c r="EJ5" s="163">
        <f t="shared" si="4"/>
        <v>148.96018487640001</v>
      </c>
      <c r="EK5" s="163">
        <f t="shared" si="4"/>
        <v>150.86100465780001</v>
      </c>
      <c r="EL5" s="163">
        <f t="shared" si="4"/>
        <v>0</v>
      </c>
      <c r="EM5" s="163">
        <f t="shared" si="4"/>
        <v>0</v>
      </c>
      <c r="EN5" s="163">
        <f t="shared" si="4"/>
        <v>0</v>
      </c>
    </row>
    <row r="6" spans="1:144">
      <c r="A6" s="94" t="s">
        <v>443</v>
      </c>
      <c r="B6" s="164">
        <v>89.765731820164504</v>
      </c>
      <c r="C6" s="165">
        <v>90.357063728485102</v>
      </c>
      <c r="D6" s="164">
        <v>90.673691161260194</v>
      </c>
      <c r="E6" s="165">
        <v>91.080745070552794</v>
      </c>
      <c r="F6" s="164">
        <v>91.169632448895499</v>
      </c>
      <c r="G6" s="165">
        <v>91.354985221440799</v>
      </c>
      <c r="H6" s="164">
        <v>91.353842558499196</v>
      </c>
      <c r="I6" s="165">
        <v>91.949067786798594</v>
      </c>
      <c r="J6" s="164">
        <v>92.540565631081805</v>
      </c>
      <c r="K6" s="165">
        <v>92.8380788281561</v>
      </c>
      <c r="L6" s="164">
        <v>92.815369951677297</v>
      </c>
      <c r="M6" s="165">
        <v>92.986956007179003</v>
      </c>
      <c r="N6" s="164">
        <v>93.6343217055325</v>
      </c>
      <c r="O6" s="165">
        <v>94.750728758662902</v>
      </c>
      <c r="P6" s="164">
        <v>95.494950565165595</v>
      </c>
      <c r="Q6" s="165">
        <v>96.042759011059601</v>
      </c>
      <c r="R6" s="164">
        <v>96.522733703163496</v>
      </c>
      <c r="S6" s="165">
        <v>96.7055257302043</v>
      </c>
      <c r="T6" s="164">
        <v>96.586794144984296</v>
      </c>
      <c r="U6" s="165">
        <v>97.125218410051104</v>
      </c>
      <c r="V6" s="164">
        <v>97.573891240877401</v>
      </c>
      <c r="W6" s="165">
        <v>97.788825749993407</v>
      </c>
      <c r="X6" s="164">
        <v>98.058444780232406</v>
      </c>
      <c r="Y6" s="165">
        <v>98.212822738628503</v>
      </c>
      <c r="Z6" s="164">
        <v>98.4765827013875</v>
      </c>
      <c r="AA6" s="165">
        <v>99.039251882105305</v>
      </c>
      <c r="AB6" s="164">
        <v>99.352852006180697</v>
      </c>
      <c r="AC6" s="165">
        <v>99.785459056385804</v>
      </c>
      <c r="AD6" s="164">
        <v>99.922648578415206</v>
      </c>
      <c r="AE6" s="165">
        <v>99.958473989707997</v>
      </c>
      <c r="AF6" s="164">
        <v>100.01406218155699</v>
      </c>
      <c r="AG6" s="165">
        <v>100.3804920069</v>
      </c>
      <c r="AH6" s="164">
        <v>100.7344419929</v>
      </c>
      <c r="AI6" s="165">
        <v>100.9587439613</v>
      </c>
      <c r="AJ6" s="164">
        <v>101.1282800736</v>
      </c>
      <c r="AK6" s="165">
        <v>101.33947104870001</v>
      </c>
      <c r="AL6" s="164">
        <v>101.4624138926</v>
      </c>
      <c r="AM6" s="165">
        <v>101.911834958</v>
      </c>
      <c r="AN6" s="164">
        <v>102.2146893517</v>
      </c>
      <c r="AO6" s="165">
        <v>102.54760808579999</v>
      </c>
      <c r="AP6" s="164">
        <v>102.6974754662</v>
      </c>
      <c r="AQ6" s="165">
        <v>102.795806309</v>
      </c>
      <c r="AR6" s="164">
        <v>102.7972302547</v>
      </c>
      <c r="AS6" s="165">
        <v>103.2436642751</v>
      </c>
      <c r="AT6" s="164">
        <v>103.6361914391</v>
      </c>
      <c r="AU6" s="165">
        <v>103.83734984119999</v>
      </c>
      <c r="AV6" s="164">
        <v>103.82174030900001</v>
      </c>
      <c r="AW6" s="165">
        <v>103.99457869760001</v>
      </c>
      <c r="AX6" s="164">
        <v>104.18429310480001</v>
      </c>
      <c r="AY6" s="165">
        <v>104.5455327287</v>
      </c>
      <c r="AZ6" s="164">
        <v>104.8105373435</v>
      </c>
      <c r="BA6" s="165">
        <v>104.9490958067</v>
      </c>
      <c r="BB6" s="164">
        <v>104.6238972979</v>
      </c>
      <c r="BC6" s="165">
        <v>105.5287560499</v>
      </c>
      <c r="BD6" s="164">
        <v>106.27217469</v>
      </c>
      <c r="BE6" s="165">
        <v>106.9391051842</v>
      </c>
      <c r="BF6" s="164">
        <v>107.4780491728</v>
      </c>
      <c r="BG6" s="165">
        <v>107.8350683768</v>
      </c>
      <c r="BH6" s="164">
        <v>106.9987912854</v>
      </c>
      <c r="BI6" s="165">
        <v>108.30437931500001</v>
      </c>
      <c r="BJ6" s="164">
        <v>108.7394977547</v>
      </c>
      <c r="BK6" s="165">
        <v>109.4176154914</v>
      </c>
      <c r="BL6" s="164">
        <v>110.0950325971</v>
      </c>
      <c r="BM6" s="165">
        <v>110.495366455</v>
      </c>
      <c r="BN6" s="164">
        <v>110.9514798766</v>
      </c>
      <c r="BO6" s="165">
        <v>111.53786169280001</v>
      </c>
      <c r="BP6" s="164">
        <v>111.90706001069999</v>
      </c>
      <c r="BQ6" s="165">
        <v>112.7278526747</v>
      </c>
      <c r="BR6" s="164">
        <v>113.4893442659</v>
      </c>
      <c r="BS6" s="165">
        <v>114.24563966949999</v>
      </c>
      <c r="BT6" s="164">
        <v>114.3389038146</v>
      </c>
      <c r="BU6" s="165">
        <v>115.4666643237</v>
      </c>
      <c r="BV6" s="164">
        <v>116.2154357364</v>
      </c>
      <c r="BW6" s="165">
        <v>117.26961075379999</v>
      </c>
      <c r="BX6" s="164">
        <v>117.9926240185</v>
      </c>
      <c r="BY6" s="165">
        <v>118.9043266405</v>
      </c>
      <c r="BZ6" s="164">
        <v>119.39486978310001</v>
      </c>
      <c r="CA6" s="165">
        <v>120.21488739989999</v>
      </c>
      <c r="CB6" s="164">
        <v>120.6704193182</v>
      </c>
      <c r="CC6" s="165">
        <v>121.6351441348</v>
      </c>
      <c r="CD6" s="164">
        <v>122.5737106393</v>
      </c>
      <c r="CE6" s="408">
        <v>123.4171581985</v>
      </c>
      <c r="CF6" s="409">
        <v>123.637597493</v>
      </c>
      <c r="CG6" s="408">
        <v>124.33875969100001</v>
      </c>
      <c r="CH6" s="409">
        <v>124.9659580463</v>
      </c>
      <c r="CI6" s="408">
        <v>125.73488215810001</v>
      </c>
      <c r="CJ6" s="409">
        <v>126.1745239941</v>
      </c>
      <c r="CK6" s="408">
        <v>126.7426184432</v>
      </c>
      <c r="CL6" s="409">
        <v>126.9223961651</v>
      </c>
      <c r="CM6" s="408">
        <v>127.0672994605</v>
      </c>
      <c r="CN6" s="409">
        <v>127.3534930836</v>
      </c>
      <c r="CO6" s="408">
        <v>127.75217015219999</v>
      </c>
      <c r="CP6" s="409">
        <v>128.19903868899999</v>
      </c>
      <c r="CQ6" s="408">
        <v>128.4629607979</v>
      </c>
      <c r="CR6" s="409">
        <v>128.11120877729999</v>
      </c>
      <c r="CS6" s="408">
        <v>128.4133530565</v>
      </c>
      <c r="CT6" s="409">
        <v>128.67819469880001</v>
      </c>
      <c r="CU6" s="408">
        <v>129.19185209029999</v>
      </c>
      <c r="CV6" s="409">
        <v>129.3650508689</v>
      </c>
      <c r="CW6" s="408">
        <v>129.7116900032</v>
      </c>
      <c r="CX6" s="409">
        <v>129.52709250090001</v>
      </c>
      <c r="DE6" s="163">
        <f>+SUMIF($B$2:$CX$2,DE$2,$B6:$CX6)</f>
        <v>90.673691161260194</v>
      </c>
      <c r="DF6" s="163">
        <f t="shared" si="4"/>
        <v>91.354985221440799</v>
      </c>
      <c r="DG6" s="163">
        <f t="shared" si="4"/>
        <v>92.540565631081805</v>
      </c>
      <c r="DH6" s="163">
        <f t="shared" si="4"/>
        <v>92.986956007179003</v>
      </c>
      <c r="DI6" s="163">
        <f t="shared" si="4"/>
        <v>95.494950565165595</v>
      </c>
      <c r="DJ6" s="163">
        <f t="shared" si="4"/>
        <v>96.7055257302043</v>
      </c>
      <c r="DK6" s="163">
        <f t="shared" si="4"/>
        <v>97.573891240877401</v>
      </c>
      <c r="DL6" s="163">
        <f t="shared" si="4"/>
        <v>98.212822738628503</v>
      </c>
      <c r="DM6" s="163">
        <f t="shared" si="4"/>
        <v>99.352852006180697</v>
      </c>
      <c r="DN6" s="163">
        <f t="shared" si="4"/>
        <v>99.958473989707997</v>
      </c>
      <c r="DO6" s="163">
        <f t="shared" si="4"/>
        <v>100.7344419929</v>
      </c>
      <c r="DP6" s="163">
        <f t="shared" si="4"/>
        <v>101.33947104870001</v>
      </c>
      <c r="DQ6" s="163">
        <f t="shared" si="4"/>
        <v>102.2146893517</v>
      </c>
      <c r="DR6" s="163">
        <f t="shared" si="4"/>
        <v>102.795806309</v>
      </c>
      <c r="DS6" s="163">
        <f t="shared" si="4"/>
        <v>103.6361914391</v>
      </c>
      <c r="DT6" s="163">
        <f t="shared" si="4"/>
        <v>103.99457869760001</v>
      </c>
      <c r="DU6" s="163">
        <f t="shared" si="4"/>
        <v>104.8105373435</v>
      </c>
      <c r="DV6" s="163">
        <f t="shared" si="4"/>
        <v>105.5287560499</v>
      </c>
      <c r="DW6" s="163">
        <f t="shared" si="4"/>
        <v>107.4780491728</v>
      </c>
      <c r="DX6" s="163">
        <f t="shared" si="4"/>
        <v>108.30437931500001</v>
      </c>
      <c r="DY6" s="163">
        <f t="shared" si="4"/>
        <v>110.0950325971</v>
      </c>
      <c r="DZ6" s="163">
        <f t="shared" si="4"/>
        <v>111.53786169280001</v>
      </c>
      <c r="EA6" s="163">
        <f t="shared" si="4"/>
        <v>113.4893442659</v>
      </c>
      <c r="EB6" s="163">
        <f t="shared" si="4"/>
        <v>115.4666643237</v>
      </c>
      <c r="EC6" s="163">
        <f t="shared" si="4"/>
        <v>117.9926240185</v>
      </c>
      <c r="ED6" s="163">
        <f t="shared" si="4"/>
        <v>120.21488739989999</v>
      </c>
      <c r="EE6" s="163">
        <f t="shared" si="4"/>
        <v>122.5737106393</v>
      </c>
      <c r="EF6" s="163">
        <f t="shared" si="4"/>
        <v>124.33875969100001</v>
      </c>
      <c r="EG6" s="163">
        <f t="shared" si="4"/>
        <v>126.1745239941</v>
      </c>
      <c r="EH6" s="163">
        <f t="shared" si="4"/>
        <v>127.0672994605</v>
      </c>
      <c r="EI6" s="163">
        <f t="shared" si="4"/>
        <v>128.19903868899999</v>
      </c>
      <c r="EJ6" s="163">
        <f t="shared" si="4"/>
        <v>128.4133530565</v>
      </c>
      <c r="EK6" s="163">
        <f t="shared" si="4"/>
        <v>129.3650508689</v>
      </c>
      <c r="EL6" s="163">
        <f t="shared" si="4"/>
        <v>0</v>
      </c>
      <c r="EM6" s="163">
        <f t="shared" si="4"/>
        <v>0</v>
      </c>
      <c r="EN6" s="163">
        <f t="shared" si="4"/>
        <v>0</v>
      </c>
    </row>
    <row r="7" spans="1:144">
      <c r="A7" s="94"/>
      <c r="B7" s="410"/>
      <c r="C7" s="411"/>
      <c r="D7" s="410"/>
      <c r="E7" s="411"/>
      <c r="F7" s="410"/>
      <c r="G7" s="410"/>
      <c r="H7" s="410"/>
      <c r="I7" s="410"/>
      <c r="J7" s="410"/>
      <c r="K7" s="410"/>
      <c r="L7" s="410"/>
      <c r="M7" s="410"/>
      <c r="N7" s="411"/>
      <c r="O7" s="410"/>
      <c r="P7" s="411"/>
      <c r="Q7" s="410"/>
      <c r="R7" s="411"/>
      <c r="S7" s="410"/>
      <c r="T7" s="411"/>
      <c r="U7" s="410"/>
      <c r="V7" s="411"/>
      <c r="W7" s="410"/>
      <c r="X7" s="411"/>
      <c r="Y7" s="410"/>
      <c r="Z7" s="411"/>
      <c r="AA7" s="410"/>
      <c r="AB7" s="411"/>
      <c r="AC7" s="410"/>
      <c r="AD7" s="411"/>
      <c r="AE7" s="410"/>
      <c r="AF7" s="411"/>
      <c r="AG7" s="410"/>
      <c r="AH7" s="411"/>
      <c r="AI7" s="410"/>
      <c r="AJ7" s="411"/>
      <c r="AK7" s="410"/>
      <c r="AL7" s="411"/>
      <c r="AM7" s="410"/>
      <c r="AN7" s="411"/>
      <c r="AO7" s="410"/>
      <c r="AP7" s="411"/>
      <c r="AQ7" s="410"/>
      <c r="AR7" s="411"/>
      <c r="AS7" s="410"/>
      <c r="AT7" s="411"/>
      <c r="AU7" s="410"/>
      <c r="AV7" s="411"/>
      <c r="AW7" s="410"/>
      <c r="AX7" s="411"/>
      <c r="AY7" s="410"/>
      <c r="AZ7" s="411"/>
      <c r="BA7" s="410"/>
      <c r="BB7" s="411"/>
      <c r="BC7" s="410"/>
      <c r="BD7" s="411"/>
      <c r="BE7" s="410"/>
      <c r="BF7" s="411"/>
      <c r="BG7" s="410"/>
      <c r="BH7" s="411"/>
      <c r="BI7" s="410"/>
      <c r="BJ7" s="411"/>
      <c r="BK7" s="410"/>
      <c r="BL7" s="411"/>
      <c r="BM7" s="410"/>
      <c r="BN7" s="411"/>
      <c r="BO7" s="410"/>
      <c r="BP7" s="411"/>
      <c r="BQ7" s="410"/>
      <c r="BR7" s="411"/>
      <c r="BS7" s="410"/>
      <c r="BT7" s="411"/>
      <c r="BU7" s="410"/>
      <c r="BV7" s="411"/>
      <c r="BW7" s="410"/>
      <c r="BX7" s="411"/>
      <c r="BY7" s="410"/>
      <c r="BZ7" s="411"/>
      <c r="CA7" s="410"/>
      <c r="CB7" s="411"/>
      <c r="CC7" s="410"/>
      <c r="CD7" s="411"/>
      <c r="CE7" s="410"/>
      <c r="CF7" s="411"/>
      <c r="CG7" s="410"/>
      <c r="CH7" s="411"/>
      <c r="CI7" s="410"/>
      <c r="CJ7" s="411"/>
      <c r="CK7" s="410"/>
      <c r="CL7" s="411"/>
      <c r="CM7" s="410"/>
      <c r="CN7" s="411"/>
      <c r="CO7" s="410"/>
      <c r="CP7" s="411"/>
      <c r="CQ7" s="410"/>
      <c r="CR7" s="411"/>
      <c r="CS7" s="410"/>
      <c r="CT7" s="411"/>
      <c r="CU7" s="410"/>
      <c r="CV7" s="411"/>
      <c r="CW7" s="410"/>
      <c r="CX7" s="411"/>
    </row>
    <row r="8" spans="1:144">
      <c r="A8" s="93" t="s">
        <v>444</v>
      </c>
    </row>
    <row r="9" spans="1:144">
      <c r="A9" s="94" t="s">
        <v>440</v>
      </c>
      <c r="B9" s="19"/>
      <c r="C9" s="19"/>
      <c r="D9" s="19"/>
      <c r="E9" s="19"/>
      <c r="F9" s="19"/>
      <c r="G9" s="19"/>
      <c r="H9" s="19"/>
      <c r="I9" s="19"/>
      <c r="J9" s="19"/>
      <c r="K9" s="19"/>
      <c r="L9" s="19"/>
      <c r="M9" s="19"/>
      <c r="N9" s="19">
        <f>+N3/M3-1</f>
        <v>1.700199975513228E-2</v>
      </c>
      <c r="O9" s="19">
        <f t="shared" ref="O9:BO12" si="6">+O3/N3-1</f>
        <v>5.7785839259054672E-3</v>
      </c>
      <c r="P9" s="19">
        <f t="shared" si="6"/>
        <v>6.1363890263168575E-3</v>
      </c>
      <c r="Q9" s="19">
        <f>+Q3/P3-1</f>
        <v>1.2293099209281788E-3</v>
      </c>
      <c r="R9" s="19">
        <f t="shared" si="6"/>
        <v>-1.1961153974123784E-3</v>
      </c>
      <c r="S9" s="19">
        <f t="shared" si="6"/>
        <v>2.5140573078179518E-3</v>
      </c>
      <c r="T9" s="19">
        <f>+T3/S3-1</f>
        <v>3.7814062401113624E-3</v>
      </c>
      <c r="U9" s="19">
        <f t="shared" si="6"/>
        <v>4.9414435004644375E-3</v>
      </c>
      <c r="V9" s="19">
        <f t="shared" si="6"/>
        <v>3.1290927199587593E-3</v>
      </c>
      <c r="W9" s="19">
        <f>+W3/V3-1</f>
        <v>6.2933892050782703E-3</v>
      </c>
      <c r="X9" s="19">
        <f t="shared" si="6"/>
        <v>1.0309438535702986E-2</v>
      </c>
      <c r="Y9" s="19">
        <f t="shared" si="6"/>
        <v>5.9133831626208E-3</v>
      </c>
      <c r="Z9" s="19">
        <f>+Z3/Y3-1</f>
        <v>5.3129276142289683E-3</v>
      </c>
      <c r="AA9" s="19">
        <f t="shared" si="6"/>
        <v>3.8096541655254779E-3</v>
      </c>
      <c r="AB9" s="19">
        <f t="shared" si="6"/>
        <v>3.2346279420345514E-3</v>
      </c>
      <c r="AC9" s="19">
        <f>+AC3/AB3-1</f>
        <v>-3.3903168322815258E-3</v>
      </c>
      <c r="AD9" s="19">
        <f t="shared" si="6"/>
        <v>-1.6213718017684675E-3</v>
      </c>
      <c r="AE9" s="19">
        <f t="shared" si="6"/>
        <v>3.8627032851956677E-3</v>
      </c>
      <c r="AF9" s="19">
        <f>+AF3/AE3-1</f>
        <v>5.3597617211711412E-3</v>
      </c>
      <c r="AG9" s="19">
        <f t="shared" si="6"/>
        <v>5.8343123970794331E-3</v>
      </c>
      <c r="AH9" s="19">
        <f t="shared" si="6"/>
        <v>4.2291923735222614E-3</v>
      </c>
      <c r="AI9" s="19">
        <f>+AI3/AH3-1</f>
        <v>5.1824766887640372E-3</v>
      </c>
      <c r="AJ9" s="19">
        <f t="shared" si="6"/>
        <v>8.5074921135646075E-3</v>
      </c>
      <c r="AK9" s="19">
        <f t="shared" si="6"/>
        <v>7.0085921233982162E-3</v>
      </c>
      <c r="AL9" s="19">
        <f>+AL3/AK3-1</f>
        <v>8.5420306736572194E-4</v>
      </c>
      <c r="AM9" s="19">
        <f t="shared" si="6"/>
        <v>-2.8125848624749317E-4</v>
      </c>
      <c r="AN9" s="19">
        <f t="shared" si="6"/>
        <v>3.8514149341768444E-3</v>
      </c>
      <c r="AO9" s="19">
        <f>+AO3/AN3-1</f>
        <v>5.3152421817626028E-4</v>
      </c>
      <c r="AP9" s="19">
        <f t="shared" si="6"/>
        <v>-2.8783649341743711E-3</v>
      </c>
      <c r="AQ9" s="19">
        <f t="shared" si="6"/>
        <v>6.3933044665942518E-4</v>
      </c>
      <c r="AR9" s="19">
        <f>+AR3/AQ3-1</f>
        <v>3.7560866997743414E-3</v>
      </c>
      <c r="AS9" s="19">
        <f t="shared" si="6"/>
        <v>-1.6395497989141194E-4</v>
      </c>
      <c r="AT9" s="19">
        <f t="shared" si="6"/>
        <v>2.6237098485577537E-3</v>
      </c>
      <c r="AU9" s="19">
        <f>+AU3/AT3-1</f>
        <v>5.3972407688904767E-3</v>
      </c>
      <c r="AV9" s="19">
        <f t="shared" si="6"/>
        <v>8.0667540644765445E-3</v>
      </c>
      <c r="AW9" s="19">
        <f t="shared" si="6"/>
        <v>5.5816072750745072E-3</v>
      </c>
      <c r="AX9" s="19">
        <f>+AX3/AW3-1</f>
        <v>4.8426378688617433E-3</v>
      </c>
      <c r="AY9" s="19">
        <f t="shared" si="6"/>
        <v>4.1523011451707337E-3</v>
      </c>
      <c r="AZ9" s="19">
        <f t="shared" si="6"/>
        <v>-4.7713048115338719E-4</v>
      </c>
      <c r="BA9" s="19">
        <f>+BA3/AZ3-1</f>
        <v>-1.0136842696418902E-2</v>
      </c>
      <c r="BB9" s="19">
        <f t="shared" si="6"/>
        <v>3.8485178005769338E-3</v>
      </c>
      <c r="BC9" s="19">
        <f t="shared" si="6"/>
        <v>5.472768033759623E-3</v>
      </c>
      <c r="BD9" s="19">
        <f>+BD3/BC3-1</f>
        <v>6.5671753651292963E-3</v>
      </c>
      <c r="BE9" s="19">
        <f t="shared" si="6"/>
        <v>3.9369345891813179E-3</v>
      </c>
      <c r="BF9" s="19">
        <f t="shared" si="6"/>
        <v>2.2898569534703928E-3</v>
      </c>
      <c r="BG9" s="19">
        <f>+BG3/BF3-1</f>
        <v>6.1046672956324155E-3</v>
      </c>
      <c r="BH9" s="19">
        <f t="shared" si="6"/>
        <v>7.5385662014815225E-4</v>
      </c>
      <c r="BI9" s="19">
        <f t="shared" si="6"/>
        <v>3.8123759829500337E-3</v>
      </c>
      <c r="BJ9" s="19">
        <f>+BJ3/BI3-1</f>
        <v>8.5933138710179158E-3</v>
      </c>
      <c r="BK9" s="19">
        <f t="shared" si="6"/>
        <v>6.3242899918338757E-3</v>
      </c>
      <c r="BL9" s="19">
        <f t="shared" si="6"/>
        <v>8.2681886625730616E-3</v>
      </c>
      <c r="BM9" s="19">
        <f>+BM3/BL3-1</f>
        <v>3.2730004292460535E-3</v>
      </c>
      <c r="BN9" s="19">
        <f t="shared" si="6"/>
        <v>2.0411801408324326E-3</v>
      </c>
      <c r="BO9" s="19">
        <f t="shared" si="6"/>
        <v>5.3282808066252851E-3</v>
      </c>
      <c r="BP9" s="19">
        <f t="shared" ref="BP9:BQ12" si="7">+BP3/BO3-1</f>
        <v>5.8751703268506983E-3</v>
      </c>
      <c r="BQ9" s="19">
        <f t="shared" si="7"/>
        <v>1.9088334125014761E-3</v>
      </c>
      <c r="BR9" s="19">
        <f t="shared" ref="BR9:CX11" si="8">+BR3/BQ3-1</f>
        <v>6.1633552533384428E-3</v>
      </c>
      <c r="BS9" s="19">
        <f>+BS3/BR3-1</f>
        <v>8.3768902540117818E-3</v>
      </c>
      <c r="BT9" s="19">
        <f t="shared" si="8"/>
        <v>1.1448499061101902E-2</v>
      </c>
      <c r="BU9" s="19">
        <f t="shared" si="8"/>
        <v>3.6275281475650623E-3</v>
      </c>
      <c r="BV9" s="19">
        <f>+BV3/BU3-1</f>
        <v>5.9160500562620566E-3</v>
      </c>
      <c r="BW9" s="19">
        <f t="shared" si="8"/>
        <v>8.2964695513634279E-3</v>
      </c>
      <c r="BX9" s="19">
        <f t="shared" si="8"/>
        <v>9.9007404543582922E-3</v>
      </c>
      <c r="BY9" s="19">
        <f>+BY3/BX3-1</f>
        <v>5.4094990803850163E-3</v>
      </c>
      <c r="BZ9" s="19">
        <f t="shared" si="8"/>
        <v>1.7631136753057941E-3</v>
      </c>
      <c r="CA9" s="19">
        <f t="shared" si="8"/>
        <v>8.4447455834475438E-3</v>
      </c>
      <c r="CB9" s="19">
        <f>+CB3/CA3-1</f>
        <v>7.4071646291500315E-3</v>
      </c>
      <c r="CC9" s="19">
        <f t="shared" si="8"/>
        <v>6.9541594820574648E-3</v>
      </c>
      <c r="CD9" s="19">
        <f t="shared" si="8"/>
        <v>6.2034037947384935E-3</v>
      </c>
      <c r="CE9" s="19">
        <f>+CE3/CD3-1</f>
        <v>5.659423140217168E-3</v>
      </c>
      <c r="CF9" s="19">
        <f t="shared" si="8"/>
        <v>5.7552923145693935E-3</v>
      </c>
      <c r="CG9" s="19">
        <f t="shared" si="8"/>
        <v>3.8175512115368182E-3</v>
      </c>
      <c r="CH9" s="19">
        <f>+CH3/CG3-1</f>
        <v>6.7837884849539787E-3</v>
      </c>
      <c r="CI9" s="19">
        <f t="shared" si="8"/>
        <v>5.5757994596972171E-3</v>
      </c>
      <c r="CJ9" s="19">
        <f t="shared" si="8"/>
        <v>2.6787248332631464E-3</v>
      </c>
      <c r="CK9" s="19">
        <f>+CK3/CJ3-1</f>
        <v>-2.025095607880445E-4</v>
      </c>
      <c r="CL9" s="19">
        <f t="shared" si="8"/>
        <v>-2.1735235231336025E-3</v>
      </c>
      <c r="CM9" s="19">
        <f t="shared" si="8"/>
        <v>1.0149589332000275E-3</v>
      </c>
      <c r="CN9" s="19">
        <f>+CN3/CM3-1</f>
        <v>4.820066451401539E-3</v>
      </c>
      <c r="CO9" s="19">
        <f t="shared" si="8"/>
        <v>5.5343392945852443E-3</v>
      </c>
      <c r="CP9" s="19">
        <f t="shared" si="8"/>
        <v>4.4386120653057137E-3</v>
      </c>
      <c r="CQ9" s="19">
        <f>+CQ3/CP3-1</f>
        <v>3.758069474331327E-3</v>
      </c>
      <c r="CR9" s="19">
        <f t="shared" si="8"/>
        <v>6.4007840194779675E-3</v>
      </c>
      <c r="CS9" s="19">
        <f t="shared" si="8"/>
        <v>7.0599870668339726E-3</v>
      </c>
      <c r="CT9" s="19">
        <f>+CT3/CS3-1</f>
        <v>8.9293133796168878E-3</v>
      </c>
      <c r="CU9" s="19">
        <f t="shared" si="8"/>
        <v>9.4343154505627247E-4</v>
      </c>
      <c r="CV9" s="19">
        <f t="shared" si="8"/>
        <v>2.8725099303565926E-3</v>
      </c>
      <c r="CW9" s="19">
        <f>+CW3/CV3-1</f>
        <v>2.0214075262001696E-3</v>
      </c>
      <c r="CX9" s="19">
        <f t="shared" si="8"/>
        <v>-1.8535612196285411E-3</v>
      </c>
      <c r="DI9" s="19">
        <f>+DI3/DH3-1</f>
        <v>2.9155613598334629E-2</v>
      </c>
      <c r="DJ9" s="19">
        <f t="shared" ref="DJ9:EN12" si="9">+DJ3/DI3-1</f>
        <v>2.5458611910824658E-3</v>
      </c>
      <c r="DK9" s="19">
        <f t="shared" si="9"/>
        <v>1.1897981140434277E-2</v>
      </c>
      <c r="DL9" s="19">
        <f t="shared" si="9"/>
        <v>2.267965476264866E-2</v>
      </c>
      <c r="DM9" s="19">
        <f t="shared" si="9"/>
        <v>1.2407023766751735E-2</v>
      </c>
      <c r="DN9" s="19">
        <f t="shared" si="9"/>
        <v>-1.162825817753288E-3</v>
      </c>
      <c r="DO9" s="19">
        <f t="shared" si="9"/>
        <v>1.5502011157980444E-2</v>
      </c>
      <c r="DP9" s="19">
        <f t="shared" si="9"/>
        <v>2.0838907220785297E-2</v>
      </c>
      <c r="DQ9" s="19">
        <f t="shared" si="9"/>
        <v>4.4263249854397113E-3</v>
      </c>
      <c r="DR9" s="19">
        <f t="shared" si="9"/>
        <v>-1.7105415748578379E-3</v>
      </c>
      <c r="DS9" s="19">
        <f t="shared" si="9"/>
        <v>6.2246488349353424E-3</v>
      </c>
      <c r="DT9" s="19">
        <f t="shared" si="9"/>
        <v>1.9164534067075856E-2</v>
      </c>
      <c r="DU9" s="19">
        <f t="shared" si="9"/>
        <v>8.5336152698849421E-3</v>
      </c>
      <c r="DV9" s="19">
        <f t="shared" si="9"/>
        <v>-8.8919672775600311E-4</v>
      </c>
      <c r="DW9" s="19">
        <f t="shared" si="9"/>
        <v>1.2843933560046095E-2</v>
      </c>
      <c r="DX9" s="19">
        <f t="shared" si="9"/>
        <v>1.070166675916151E-2</v>
      </c>
      <c r="DY9" s="19">
        <f t="shared" si="9"/>
        <v>2.3363930045483317E-2</v>
      </c>
      <c r="DZ9" s="19">
        <f t="shared" si="9"/>
        <v>1.0677493203605781E-2</v>
      </c>
      <c r="EA9" s="19">
        <f t="shared" si="9"/>
        <v>1.4006618414765803E-2</v>
      </c>
      <c r="EB9" s="19">
        <f t="shared" si="9"/>
        <v>2.3621085330843616E-2</v>
      </c>
      <c r="EC9" s="19">
        <f t="shared" si="9"/>
        <v>2.4303542810379497E-2</v>
      </c>
      <c r="ED9" s="19">
        <f t="shared" si="9"/>
        <v>1.5687547333116836E-2</v>
      </c>
      <c r="EE9" s="19">
        <f t="shared" si="9"/>
        <v>2.0705647143653083E-2</v>
      </c>
      <c r="EF9" s="19">
        <f t="shared" si="9"/>
        <v>1.5308538905523639E-2</v>
      </c>
      <c r="EG9" s="19">
        <f t="shared" si="9"/>
        <v>1.510934708012468E-2</v>
      </c>
      <c r="EH9" s="19">
        <f t="shared" si="9"/>
        <v>-1.3630451206879668E-3</v>
      </c>
      <c r="EI9" s="19">
        <f t="shared" si="9"/>
        <v>1.4865771288626872E-2</v>
      </c>
      <c r="EJ9" s="19">
        <f t="shared" si="9"/>
        <v>1.731478635106054E-2</v>
      </c>
      <c r="EK9" s="19">
        <f t="shared" si="9"/>
        <v>1.2782062807370043E-2</v>
      </c>
      <c r="EL9" s="19">
        <f t="shared" si="9"/>
        <v>-1</v>
      </c>
      <c r="EM9" s="19" t="e">
        <f t="shared" si="9"/>
        <v>#DIV/0!</v>
      </c>
      <c r="EN9" s="19" t="e">
        <f t="shared" si="9"/>
        <v>#DIV/0!</v>
      </c>
    </row>
    <row r="10" spans="1:144">
      <c r="A10" s="94" t="s">
        <v>441</v>
      </c>
      <c r="B10" s="19"/>
      <c r="C10" s="19"/>
      <c r="D10" s="19"/>
      <c r="E10" s="19"/>
      <c r="F10" s="19"/>
      <c r="G10" s="19"/>
      <c r="H10" s="19"/>
      <c r="I10" s="19"/>
      <c r="J10" s="19"/>
      <c r="K10" s="19"/>
      <c r="L10" s="19"/>
      <c r="M10" s="19"/>
      <c r="N10" s="19">
        <f>+N4/M4-1</f>
        <v>9.2776910708156635E-3</v>
      </c>
      <c r="O10" s="19">
        <f t="shared" si="6"/>
        <v>1.1050309558714666E-2</v>
      </c>
      <c r="P10" s="19">
        <f t="shared" si="6"/>
        <v>7.7645935077448325E-3</v>
      </c>
      <c r="Q10" s="19">
        <f>+Q4/P4-1</f>
        <v>6.0448411644282718E-3</v>
      </c>
      <c r="R10" s="19">
        <f t="shared" si="6"/>
        <v>4.7941786856016133E-3</v>
      </c>
      <c r="S10" s="19">
        <f t="shared" si="6"/>
        <v>3.1631669821396979E-3</v>
      </c>
      <c r="T10" s="19">
        <f>+T4/S4-1</f>
        <v>1.1732014395886559E-3</v>
      </c>
      <c r="U10" s="19">
        <f t="shared" si="6"/>
        <v>4.7275992548201362E-3</v>
      </c>
      <c r="V10" s="19">
        <f t="shared" si="6"/>
        <v>3.2960836823743289E-3</v>
      </c>
      <c r="W10" s="19">
        <f>+W4/V4-1</f>
        <v>2.1554201503855008E-3</v>
      </c>
      <c r="X10" s="19">
        <f t="shared" si="6"/>
        <v>3.3567168845023421E-3</v>
      </c>
      <c r="Y10" s="19">
        <f t="shared" si="6"/>
        <v>3.2311786528624875E-3</v>
      </c>
      <c r="Z10" s="19">
        <f>+Z4/Y4-1</f>
        <v>5.5806059162510913E-3</v>
      </c>
      <c r="AA10" s="19">
        <f t="shared" si="6"/>
        <v>5.3685160835954537E-3</v>
      </c>
      <c r="AB10" s="19">
        <f t="shared" si="6"/>
        <v>2.536563086203536E-3</v>
      </c>
      <c r="AC10" s="19">
        <f>+AC4/AB4-1</f>
        <v>3.3189711958614421E-3</v>
      </c>
      <c r="AD10" s="19">
        <f t="shared" si="6"/>
        <v>2.1020679030820943E-3</v>
      </c>
      <c r="AE10" s="19">
        <f t="shared" si="6"/>
        <v>1.2880135874304699E-3</v>
      </c>
      <c r="AF10" s="19">
        <f>+AF4/AE4-1</f>
        <v>2.2445660193814998E-3</v>
      </c>
      <c r="AG10" s="19">
        <f t="shared" si="6"/>
        <v>3.8610639782401535E-3</v>
      </c>
      <c r="AH10" s="19">
        <f t="shared" si="6"/>
        <v>3.8060020407870709E-3</v>
      </c>
      <c r="AI10" s="19">
        <f>+AI4/AH4-1</f>
        <v>2.3901222291273783E-3</v>
      </c>
      <c r="AJ10" s="19">
        <f t="shared" si="6"/>
        <v>2.6392379945372468E-3</v>
      </c>
      <c r="AK10" s="19">
        <f t="shared" si="6"/>
        <v>3.3804151255891757E-3</v>
      </c>
      <c r="AL10" s="19">
        <f>+AL4/AK4-1</f>
        <v>3.0611038115586631E-3</v>
      </c>
      <c r="AM10" s="19">
        <f t="shared" si="6"/>
        <v>4.9334602170201247E-3</v>
      </c>
      <c r="AN10" s="19">
        <f t="shared" si="6"/>
        <v>3.4192936590122791E-3</v>
      </c>
      <c r="AO10" s="19">
        <f>+AO4/AN4-1</f>
        <v>3.631961086267177E-3</v>
      </c>
      <c r="AP10" s="19">
        <f t="shared" si="6"/>
        <v>2.8684735010569007E-3</v>
      </c>
      <c r="AQ10" s="19">
        <f t="shared" si="6"/>
        <v>2.3101937525544791E-3</v>
      </c>
      <c r="AR10" s="19">
        <f>+AR4/AQ4-1</f>
        <v>1.5036091478886071E-3</v>
      </c>
      <c r="AS10" s="19">
        <f t="shared" si="6"/>
        <v>3.0380075198979117E-3</v>
      </c>
      <c r="AT10" s="19">
        <f t="shared" si="6"/>
        <v>3.8468109047113952E-3</v>
      </c>
      <c r="AU10" s="19">
        <f>+AU4/AT4-1</f>
        <v>2.5637630994912453E-3</v>
      </c>
      <c r="AV10" s="19">
        <f t="shared" si="6"/>
        <v>1.1948713086951113E-3</v>
      </c>
      <c r="AW10" s="19">
        <f t="shared" si="6"/>
        <v>2.6316768706589055E-3</v>
      </c>
      <c r="AX10" s="19">
        <f>+AX4/AW4-1</f>
        <v>6.6119021466057859E-3</v>
      </c>
      <c r="AY10" s="19">
        <f t="shared" si="6"/>
        <v>3.948965559092521E-3</v>
      </c>
      <c r="AZ10" s="19">
        <f t="shared" si="6"/>
        <v>3.5340131913583761E-3</v>
      </c>
      <c r="BA10" s="19">
        <f>+BA4/AZ4-1</f>
        <v>6.3405733638157713E-3</v>
      </c>
      <c r="BB10" s="19">
        <f t="shared" si="6"/>
        <v>4.6447773767754885E-3</v>
      </c>
      <c r="BC10" s="19">
        <f t="shared" si="6"/>
        <v>6.0376271097981604E-3</v>
      </c>
      <c r="BD10" s="19">
        <f>+BD4/BC4-1</f>
        <v>6.3671970456649074E-3</v>
      </c>
      <c r="BE10" s="19">
        <f t="shared" si="6"/>
        <v>4.6565432028868869E-3</v>
      </c>
      <c r="BF10" s="19">
        <f t="shared" si="6"/>
        <v>4.1914768239310618E-3</v>
      </c>
      <c r="BG10" s="19">
        <f>+BG4/BF4-1</f>
        <v>2.9283087111404704E-3</v>
      </c>
      <c r="BH10" s="19">
        <f t="shared" si="6"/>
        <v>-3.0621706864651932E-3</v>
      </c>
      <c r="BI10" s="19">
        <f t="shared" si="6"/>
        <v>7.7009313276967806E-3</v>
      </c>
      <c r="BJ10" s="19">
        <f>+BJ4/BI4-1</f>
        <v>5.5101840497584487E-3</v>
      </c>
      <c r="BK10" s="19">
        <f t="shared" si="6"/>
        <v>5.1870822019930429E-3</v>
      </c>
      <c r="BL10" s="19">
        <f t="shared" si="6"/>
        <v>5.9845720013285142E-3</v>
      </c>
      <c r="BM10" s="19">
        <f>+BM4/BL4-1</f>
        <v>4.4434833295392551E-3</v>
      </c>
      <c r="BN10" s="19">
        <f t="shared" si="6"/>
        <v>6.1946767423892712E-3</v>
      </c>
      <c r="BO10" s="19">
        <f t="shared" si="6"/>
        <v>6.5042478973054152E-3</v>
      </c>
      <c r="BP10" s="19">
        <f t="shared" si="7"/>
        <v>5.7523221496387222E-3</v>
      </c>
      <c r="BQ10" s="19">
        <f t="shared" si="7"/>
        <v>7.005479224774902E-3</v>
      </c>
      <c r="BR10" s="19">
        <f t="shared" si="8"/>
        <v>6.7672614586231639E-3</v>
      </c>
      <c r="BS10" s="19">
        <f>+BS4/BR4-1</f>
        <v>5.9598786190189212E-3</v>
      </c>
      <c r="BT10" s="19">
        <f t="shared" si="8"/>
        <v>3.1311416151580396E-3</v>
      </c>
      <c r="BU10" s="19">
        <f t="shared" si="8"/>
        <v>9.136305194876515E-3</v>
      </c>
      <c r="BV10" s="19">
        <f>+BV4/BU4-1</f>
        <v>9.8881654840357047E-3</v>
      </c>
      <c r="BW10" s="19">
        <f t="shared" si="8"/>
        <v>9.6459156850854377E-3</v>
      </c>
      <c r="BX10" s="19">
        <f t="shared" si="8"/>
        <v>9.2604485968110772E-3</v>
      </c>
      <c r="BY10" s="19">
        <f>+BY4/BX4-1</f>
        <v>1.0276581862675771E-2</v>
      </c>
      <c r="BZ10" s="19">
        <f t="shared" si="8"/>
        <v>8.0853348825886684E-3</v>
      </c>
      <c r="CA10" s="19">
        <f t="shared" si="8"/>
        <v>1.0017521136672869E-2</v>
      </c>
      <c r="CB10" s="19">
        <f>+CB4/CA4-1</f>
        <v>7.2249577715897129E-3</v>
      </c>
      <c r="CC10" s="19">
        <f t="shared" si="8"/>
        <v>1.1384870556107263E-2</v>
      </c>
      <c r="CD10" s="19">
        <f t="shared" si="8"/>
        <v>9.3600277478804728E-3</v>
      </c>
      <c r="CE10" s="19">
        <f>+CE4/CD4-1</f>
        <v>8.7477505837150193E-3</v>
      </c>
      <c r="CF10" s="19">
        <f t="shared" si="8"/>
        <v>4.3123375423670396E-3</v>
      </c>
      <c r="CG10" s="19">
        <f t="shared" si="8"/>
        <v>7.4084859459058183E-3</v>
      </c>
      <c r="CH10" s="19">
        <f>+CH4/CG4-1</f>
        <v>9.066345737842596E-3</v>
      </c>
      <c r="CI10" s="19">
        <f t="shared" si="8"/>
        <v>6.5009145422707526E-3</v>
      </c>
      <c r="CJ10" s="19">
        <f t="shared" si="8"/>
        <v>4.4606919535985501E-3</v>
      </c>
      <c r="CK10" s="19">
        <f>+CK4/CJ4-1</f>
        <v>4.9572804774271617E-3</v>
      </c>
      <c r="CL10" s="19">
        <f t="shared" si="8"/>
        <v>3.4873865527966785E-3</v>
      </c>
      <c r="CM10" s="19">
        <f t="shared" si="8"/>
        <v>2.7966839611224259E-3</v>
      </c>
      <c r="CN10" s="19">
        <f>+CN4/CM4-1</f>
        <v>3.0934401621602881E-3</v>
      </c>
      <c r="CO10" s="19">
        <f t="shared" si="8"/>
        <v>2.3976219822758882E-3</v>
      </c>
      <c r="CP10" s="19">
        <f t="shared" si="8"/>
        <v>3.0753050215410749E-3</v>
      </c>
      <c r="CQ10" s="19">
        <f>+CQ4/CP4-1</f>
        <v>3.4137952035009356E-3</v>
      </c>
      <c r="CR10" s="19">
        <f t="shared" si="8"/>
        <v>1.3873793581646865E-3</v>
      </c>
      <c r="CS10" s="19">
        <f t="shared" si="8"/>
        <v>3.2002610906065598E-3</v>
      </c>
      <c r="CT10" s="19">
        <f>+CT4/CS4-1</f>
        <v>4.0590794106780681E-3</v>
      </c>
      <c r="CU10" s="19">
        <f t="shared" si="8"/>
        <v>4.0113354836981419E-3</v>
      </c>
      <c r="CV10" s="19">
        <f t="shared" si="8"/>
        <v>2.24166797382086E-3</v>
      </c>
      <c r="CW10" s="19">
        <f>+CW4/CV4-1</f>
        <v>2.9577803039109174E-3</v>
      </c>
      <c r="CX10" s="19">
        <f t="shared" si="8"/>
        <v>6.9724292483486217E-4</v>
      </c>
      <c r="DI10" s="19">
        <f>+DI4/DH4-1</f>
        <v>2.8353750193984339E-2</v>
      </c>
      <c r="DJ10" s="19">
        <f t="shared" ref="DJ10:DX10" si="10">+DJ4/DI4-1</f>
        <v>1.406554417927941E-2</v>
      </c>
      <c r="DK10" s="19">
        <f t="shared" si="10"/>
        <v>9.2218986174015249E-3</v>
      </c>
      <c r="DL10" s="19">
        <f t="shared" si="10"/>
        <v>8.7683849004955849E-3</v>
      </c>
      <c r="DM10" s="19">
        <f t="shared" si="10"/>
        <v>1.3543493791704719E-2</v>
      </c>
      <c r="DN10" s="19">
        <f t="shared" si="10"/>
        <v>6.7230207473012449E-3</v>
      </c>
      <c r="DO10" s="19">
        <f t="shared" si="10"/>
        <v>9.943569476029479E-3</v>
      </c>
      <c r="DP10" s="19">
        <f t="shared" si="10"/>
        <v>8.433106100026011E-3</v>
      </c>
      <c r="DQ10" s="19">
        <f t="shared" si="10"/>
        <v>1.1456346921159932E-2</v>
      </c>
      <c r="DR10" s="19">
        <f t="shared" si="10"/>
        <v>8.8360878554076816E-3</v>
      </c>
      <c r="DS10" s="19">
        <f t="shared" si="10"/>
        <v>8.4104838610583599E-3</v>
      </c>
      <c r="DT10" s="19">
        <f t="shared" si="10"/>
        <v>6.4032742188444569E-3</v>
      </c>
      <c r="DU10" s="19">
        <f t="shared" si="10"/>
        <v>1.4158405590396494E-2</v>
      </c>
      <c r="DV10" s="19">
        <f t="shared" si="10"/>
        <v>1.7118931664996895E-2</v>
      </c>
      <c r="DW10" s="19">
        <f t="shared" si="10"/>
        <v>1.5291196226005388E-2</v>
      </c>
      <c r="DX10" s="19">
        <f t="shared" si="10"/>
        <v>7.5570024552906734E-3</v>
      </c>
      <c r="DY10" s="19">
        <f t="shared" si="9"/>
        <v>1.6774609640501259E-2</v>
      </c>
      <c r="DZ10" s="19">
        <f t="shared" si="9"/>
        <v>1.7239306177905478E-2</v>
      </c>
      <c r="EA10" s="19">
        <f t="shared" si="9"/>
        <v>1.9651968689456289E-2</v>
      </c>
      <c r="EB10" s="19">
        <f t="shared" si="9"/>
        <v>1.8329215483048555E-2</v>
      </c>
      <c r="EC10" s="19">
        <f t="shared" si="9"/>
        <v>2.9071687796412782E-2</v>
      </c>
      <c r="ED10" s="19">
        <f t="shared" si="9"/>
        <v>2.8647300728733338E-2</v>
      </c>
      <c r="EE10" s="19">
        <f t="shared" si="9"/>
        <v>2.8227069705149876E-2</v>
      </c>
      <c r="EF10" s="19">
        <f t="shared" si="9"/>
        <v>2.0603332276767361E-2</v>
      </c>
      <c r="EG10" s="19">
        <f t="shared" si="9"/>
        <v>2.0156595436362279E-2</v>
      </c>
      <c r="EH10" s="19">
        <f t="shared" si="9"/>
        <v>1.1282304358403827E-2</v>
      </c>
      <c r="EI10" s="19">
        <f t="shared" si="9"/>
        <v>8.5906935663275785E-3</v>
      </c>
      <c r="EJ10" s="19">
        <f t="shared" si="9"/>
        <v>8.0215520505786397E-3</v>
      </c>
      <c r="EK10" s="19">
        <f t="shared" si="9"/>
        <v>1.034649288764844E-2</v>
      </c>
      <c r="EL10" s="19">
        <f t="shared" si="9"/>
        <v>-1</v>
      </c>
      <c r="EM10" s="19" t="e">
        <f t="shared" si="9"/>
        <v>#DIV/0!</v>
      </c>
      <c r="EN10" s="19" t="e">
        <f t="shared" si="9"/>
        <v>#DIV/0!</v>
      </c>
    </row>
    <row r="11" spans="1:144">
      <c r="A11" s="94" t="s">
        <v>442</v>
      </c>
      <c r="B11" s="19"/>
      <c r="C11" s="19"/>
      <c r="D11" s="19"/>
      <c r="E11" s="19"/>
      <c r="F11" s="19"/>
      <c r="G11" s="19"/>
      <c r="H11" s="19"/>
      <c r="I11" s="19"/>
      <c r="J11" s="19"/>
      <c r="K11" s="19"/>
      <c r="L11" s="19"/>
      <c r="M11" s="19"/>
      <c r="N11" s="19">
        <f>+N5/M5-1</f>
        <v>1.2043712045892496E-2</v>
      </c>
      <c r="O11" s="19">
        <f t="shared" si="6"/>
        <v>1.0013124011169161E-2</v>
      </c>
      <c r="P11" s="19">
        <f t="shared" si="6"/>
        <v>7.6575171636517059E-3</v>
      </c>
      <c r="Q11" s="19">
        <f>+Q5/P5-1</f>
        <v>6.4120235552904692E-3</v>
      </c>
      <c r="R11" s="19">
        <f t="shared" si="6"/>
        <v>4.5521936609018709E-3</v>
      </c>
      <c r="S11" s="19">
        <f t="shared" si="6"/>
        <v>4.6745432291683819E-3</v>
      </c>
      <c r="T11" s="19">
        <f>+T5/S5-1</f>
        <v>4.0239437456837113E-3</v>
      </c>
      <c r="U11" s="19">
        <f t="shared" si="6"/>
        <v>3.7272925315470218E-3</v>
      </c>
      <c r="V11" s="19">
        <f t="shared" si="6"/>
        <v>1.7300570027884987E-3</v>
      </c>
      <c r="W11" s="19">
        <f>+W5/V5-1</f>
        <v>2.0992094156826457E-3</v>
      </c>
      <c r="X11" s="19">
        <f t="shared" si="6"/>
        <v>4.0682942814487255E-3</v>
      </c>
      <c r="Y11" s="19">
        <f t="shared" si="6"/>
        <v>5.1949900826291362E-3</v>
      </c>
      <c r="Z11" s="19">
        <f>+Z5/Y5-1</f>
        <v>8.9996458619423514E-3</v>
      </c>
      <c r="AA11" s="19">
        <f t="shared" si="6"/>
        <v>4.9633589108630805E-3</v>
      </c>
      <c r="AB11" s="19">
        <f t="shared" si="6"/>
        <v>1.7967947856842859E-3</v>
      </c>
      <c r="AC11" s="19">
        <f>+AC5/AB5-1</f>
        <v>2.1013778672764882E-3</v>
      </c>
      <c r="AD11" s="19">
        <f t="shared" si="6"/>
        <v>2.9592800134166097E-3</v>
      </c>
      <c r="AE11" s="19">
        <f t="shared" si="6"/>
        <v>2.3819071656845381E-3</v>
      </c>
      <c r="AF11" s="19">
        <f>+AF5/AE5-1</f>
        <v>4.2276700737344797E-3</v>
      </c>
      <c r="AG11" s="19">
        <f t="shared" si="6"/>
        <v>4.1119219171619203E-3</v>
      </c>
      <c r="AH11" s="19">
        <f t="shared" si="6"/>
        <v>4.0731023460773841E-3</v>
      </c>
      <c r="AI11" s="19">
        <f>+AI5/AH5-1</f>
        <v>2.5460082108390569E-3</v>
      </c>
      <c r="AJ11" s="19">
        <f t="shared" si="6"/>
        <v>3.5544637157614023E-3</v>
      </c>
      <c r="AK11" s="19">
        <f t="shared" si="6"/>
        <v>4.6099491834354911E-3</v>
      </c>
      <c r="AL11" s="19">
        <f>+AL5/AK5-1</f>
        <v>4.8151792647237457E-3</v>
      </c>
      <c r="AM11" s="19">
        <f t="shared" si="6"/>
        <v>5.4101735567557707E-3</v>
      </c>
      <c r="AN11" s="19">
        <f t="shared" si="6"/>
        <v>3.8421917721129795E-3</v>
      </c>
      <c r="AO11" s="19">
        <f>+AO5/AN5-1</f>
        <v>3.9858993783534746E-3</v>
      </c>
      <c r="AP11" s="19">
        <f t="shared" si="6"/>
        <v>4.1958435271007843E-3</v>
      </c>
      <c r="AQ11" s="19">
        <f t="shared" si="6"/>
        <v>3.5828458637774396E-3</v>
      </c>
      <c r="AR11" s="19">
        <f>+AR5/AQ5-1</f>
        <v>2.9015275529118423E-3</v>
      </c>
      <c r="AS11" s="19">
        <f t="shared" si="6"/>
        <v>1.817119963175795E-3</v>
      </c>
      <c r="AT11" s="19">
        <f t="shared" si="6"/>
        <v>3.8888916762842562E-3</v>
      </c>
      <c r="AU11" s="19">
        <f>+AU5/AT5-1</f>
        <v>3.1478657705570345E-3</v>
      </c>
      <c r="AV11" s="19">
        <f t="shared" si="6"/>
        <v>2.4550539292773621E-3</v>
      </c>
      <c r="AW11" s="19">
        <f t="shared" si="6"/>
        <v>3.5351301932655677E-3</v>
      </c>
      <c r="AX11" s="19">
        <f>+AX5/AW5-1</f>
        <v>1.1076963701206699E-2</v>
      </c>
      <c r="AY11" s="19">
        <f t="shared" si="6"/>
        <v>4.394055179269829E-3</v>
      </c>
      <c r="AZ11" s="19">
        <f t="shared" si="6"/>
        <v>4.4565010365889002E-3</v>
      </c>
      <c r="BA11" s="19">
        <f>+BA5/AZ5-1</f>
        <v>1.0965052114365825E-2</v>
      </c>
      <c r="BB11" s="19">
        <f t="shared" si="6"/>
        <v>1.171204273034987E-2</v>
      </c>
      <c r="BC11" s="19">
        <f t="shared" si="6"/>
        <v>3.6894523700035098E-3</v>
      </c>
      <c r="BD11" s="19">
        <f>+BD5/BC5-1</f>
        <v>5.754892389692623E-3</v>
      </c>
      <c r="BE11" s="19">
        <f t="shared" si="6"/>
        <v>3.1913460809731564E-3</v>
      </c>
      <c r="BF11" s="19">
        <f t="shared" si="6"/>
        <v>3.4215148491698599E-3</v>
      </c>
      <c r="BG11" s="19">
        <f>+BG5/BF5-1</f>
        <v>2.5705702377643025E-3</v>
      </c>
      <c r="BH11" s="19">
        <f t="shared" si="6"/>
        <v>1.2077380478618949E-3</v>
      </c>
      <c r="BI11" s="19">
        <f t="shared" si="6"/>
        <v>3.6423882306941824E-3</v>
      </c>
      <c r="BJ11" s="19">
        <f>+BJ5/BI5-1</f>
        <v>6.8675771994484158E-3</v>
      </c>
      <c r="BK11" s="19">
        <f t="shared" si="6"/>
        <v>4.2357491191211682E-3</v>
      </c>
      <c r="BL11" s="19">
        <f t="shared" si="6"/>
        <v>5.7969007644709247E-3</v>
      </c>
      <c r="BM11" s="19">
        <f>+BM5/BL5-1</f>
        <v>5.1772388302997463E-3</v>
      </c>
      <c r="BN11" s="19">
        <f t="shared" si="6"/>
        <v>8.0704666669144665E-3</v>
      </c>
      <c r="BO11" s="19">
        <f t="shared" si="6"/>
        <v>7.6064712504673171E-3</v>
      </c>
      <c r="BP11" s="19">
        <f t="shared" si="7"/>
        <v>7.9551293045185822E-3</v>
      </c>
      <c r="BQ11" s="19">
        <f t="shared" si="7"/>
        <v>6.7100010369534058E-3</v>
      </c>
      <c r="BR11" s="19">
        <f t="shared" si="8"/>
        <v>6.7781575313450304E-3</v>
      </c>
      <c r="BS11" s="19">
        <f>+BS5/BR5-1</f>
        <v>5.3273206503736681E-3</v>
      </c>
      <c r="BT11" s="19">
        <f t="shared" si="8"/>
        <v>5.2133735821180416E-3</v>
      </c>
      <c r="BU11" s="19">
        <f t="shared" si="8"/>
        <v>8.4851979333175898E-3</v>
      </c>
      <c r="BV11" s="19">
        <f>+BV5/BU5-1</f>
        <v>1.2940429265596798E-2</v>
      </c>
      <c r="BW11" s="19">
        <f t="shared" si="8"/>
        <v>1.0158342894126537E-2</v>
      </c>
      <c r="BX11" s="19">
        <f t="shared" si="8"/>
        <v>1.2015501040974375E-2</v>
      </c>
      <c r="BY11" s="19">
        <f>+BY5/BX5-1</f>
        <v>1.2533161723024655E-2</v>
      </c>
      <c r="BZ11" s="19">
        <f t="shared" si="8"/>
        <v>1.1573131848807039E-2</v>
      </c>
      <c r="CA11" s="19">
        <f t="shared" si="8"/>
        <v>1.2771094715225084E-2</v>
      </c>
      <c r="CB11" s="19">
        <f>+CB5/CA5-1</f>
        <v>1.0211284914070751E-2</v>
      </c>
      <c r="CC11" s="19">
        <f t="shared" si="8"/>
        <v>1.4312930995008522E-2</v>
      </c>
      <c r="CD11" s="19">
        <f t="shared" si="8"/>
        <v>1.0770908873383833E-2</v>
      </c>
      <c r="CE11" s="19">
        <f>+CE5/CD5-1</f>
        <v>1.0345040631420055E-2</v>
      </c>
      <c r="CF11" s="19">
        <f t="shared" si="8"/>
        <v>6.4666496301359899E-3</v>
      </c>
      <c r="CG11" s="19">
        <f t="shared" si="8"/>
        <v>8.8832065494510726E-3</v>
      </c>
      <c r="CH11" s="19">
        <f>+CH5/CG5-1</f>
        <v>1.2469493132309717E-2</v>
      </c>
      <c r="CI11" s="19">
        <f t="shared" si="8"/>
        <v>6.7930745573347995E-3</v>
      </c>
      <c r="CJ11" s="19">
        <f t="shared" si="8"/>
        <v>5.2699480653706221E-3</v>
      </c>
      <c r="CK11" s="19">
        <f>+CK5/CJ5-1</f>
        <v>5.3383820113790392E-3</v>
      </c>
      <c r="CL11" s="19">
        <f t="shared" si="8"/>
        <v>5.2195040322671193E-3</v>
      </c>
      <c r="CM11" s="19">
        <f t="shared" si="8"/>
        <v>4.1770248362389406E-3</v>
      </c>
      <c r="CN11" s="19">
        <f>+CN5/CM5-1</f>
        <v>3.7928603000501049E-3</v>
      </c>
      <c r="CO11" s="19">
        <f t="shared" si="8"/>
        <v>1.7891787854455998E-3</v>
      </c>
      <c r="CP11" s="19">
        <f t="shared" si="8"/>
        <v>2.7239534750977956E-3</v>
      </c>
      <c r="CQ11" s="19">
        <f>+CQ5/CP5-1</f>
        <v>4.5412304702543427E-3</v>
      </c>
      <c r="CR11" s="19">
        <f t="shared" si="8"/>
        <v>4.8113080083920234E-3</v>
      </c>
      <c r="CS11" s="19">
        <f t="shared" si="8"/>
        <v>3.8936578284740619E-3</v>
      </c>
      <c r="CT11" s="19">
        <f>+CT5/CS5-1</f>
        <v>5.7012155268514331E-3</v>
      </c>
      <c r="CU11" s="19">
        <f t="shared" si="8"/>
        <v>4.0273455507628952E-3</v>
      </c>
      <c r="CV11" s="19">
        <f t="shared" si="8"/>
        <v>2.9800081126671873E-3</v>
      </c>
      <c r="CW11" s="19">
        <f>+CW5/CV5-1</f>
        <v>3.1854055538742543E-3</v>
      </c>
      <c r="CX11" s="19">
        <f t="shared" si="8"/>
        <v>2.4310417992385869E-3</v>
      </c>
      <c r="DI11" s="19">
        <f>+DI5/DH5-1</f>
        <v>3.0004772463344542E-2</v>
      </c>
      <c r="DJ11" s="19">
        <f t="shared" si="9"/>
        <v>1.5719338369874603E-2</v>
      </c>
      <c r="DK11" s="19">
        <f t="shared" si="9"/>
        <v>9.5097277242053302E-3</v>
      </c>
      <c r="DL11" s="19">
        <f t="shared" si="9"/>
        <v>1.1403118468225948E-2</v>
      </c>
      <c r="DM11" s="19">
        <f t="shared" si="9"/>
        <v>1.5829636945219994E-2</v>
      </c>
      <c r="DN11" s="19">
        <f t="shared" si="9"/>
        <v>7.4608524412158594E-3</v>
      </c>
      <c r="DO11" s="19">
        <f t="shared" si="9"/>
        <v>1.2464117004109321E-2</v>
      </c>
      <c r="DP11" s="19">
        <f t="shared" si="9"/>
        <v>1.0747635388046461E-2</v>
      </c>
      <c r="DQ11" s="19">
        <f t="shared" si="9"/>
        <v>1.4132983408366107E-2</v>
      </c>
      <c r="DR11" s="19">
        <f t="shared" si="9"/>
        <v>1.1810686823332528E-2</v>
      </c>
      <c r="DS11" s="19">
        <f t="shared" si="9"/>
        <v>8.6311824289448946E-3</v>
      </c>
      <c r="DT11" s="19">
        <f t="shared" si="9"/>
        <v>9.1656124440535613E-3</v>
      </c>
      <c r="DU11" s="19">
        <f t="shared" si="9"/>
        <v>2.0045356228802991E-2</v>
      </c>
      <c r="DV11" s="19">
        <f t="shared" si="9"/>
        <v>2.6579110246070625E-2</v>
      </c>
      <c r="DW11" s="19">
        <f t="shared" si="9"/>
        <v>1.2416791699921159E-2</v>
      </c>
      <c r="DX11" s="19">
        <f t="shared" si="9"/>
        <v>7.4375744655017506E-3</v>
      </c>
      <c r="DY11" s="19">
        <f t="shared" si="9"/>
        <v>1.699384992592079E-2</v>
      </c>
      <c r="DZ11" s="19">
        <f t="shared" si="9"/>
        <v>2.0997045591247598E-2</v>
      </c>
      <c r="EA11" s="19">
        <f t="shared" si="9"/>
        <v>2.1596431173140029E-2</v>
      </c>
      <c r="EB11" s="19">
        <f t="shared" si="9"/>
        <v>1.9143341017524351E-2</v>
      </c>
      <c r="EC11" s="19">
        <f t="shared" si="9"/>
        <v>3.5524849316780571E-2</v>
      </c>
      <c r="ED11" s="19">
        <f t="shared" si="9"/>
        <v>3.7332152399490282E-2</v>
      </c>
      <c r="EE11" s="19">
        <f t="shared" si="9"/>
        <v>3.5707000498685471E-2</v>
      </c>
      <c r="EF11" s="19">
        <f t="shared" si="9"/>
        <v>2.5911730547778067E-2</v>
      </c>
      <c r="EG11" s="19">
        <f t="shared" si="9"/>
        <v>2.4719181080141928E-2</v>
      </c>
      <c r="EH11" s="19">
        <f t="shared" si="9"/>
        <v>1.4806991525935675E-2</v>
      </c>
      <c r="EI11" s="19">
        <f t="shared" si="9"/>
        <v>8.3280023655782909E-3</v>
      </c>
      <c r="EJ11" s="19">
        <f t="shared" si="9"/>
        <v>1.3304546223850133E-2</v>
      </c>
      <c r="EK11" s="19">
        <f t="shared" si="9"/>
        <v>1.2760589569469349E-2</v>
      </c>
      <c r="EL11" s="19">
        <f t="shared" si="9"/>
        <v>-1</v>
      </c>
      <c r="EM11" s="19" t="e">
        <f t="shared" si="9"/>
        <v>#DIV/0!</v>
      </c>
      <c r="EN11" s="19" t="e">
        <f t="shared" si="9"/>
        <v>#DIV/0!</v>
      </c>
    </row>
    <row r="12" spans="1:144">
      <c r="A12" s="94" t="s">
        <v>443</v>
      </c>
      <c r="B12" s="19"/>
      <c r="C12" s="19"/>
      <c r="D12" s="19"/>
      <c r="E12" s="19"/>
      <c r="F12" s="19"/>
      <c r="G12" s="19"/>
      <c r="H12" s="19"/>
      <c r="I12" s="19"/>
      <c r="J12" s="19"/>
      <c r="K12" s="19"/>
      <c r="L12" s="19"/>
      <c r="M12" s="19"/>
      <c r="N12" s="19">
        <f>+N6/M6-1</f>
        <v>6.9618979494663336E-3</v>
      </c>
      <c r="O12" s="19">
        <f t="shared" si="6"/>
        <v>1.192305377766667E-2</v>
      </c>
      <c r="P12" s="19">
        <f t="shared" si="6"/>
        <v>7.8545232976336976E-3</v>
      </c>
      <c r="Q12" s="19">
        <f>+Q6/P6-1</f>
        <v>5.736517403819974E-3</v>
      </c>
      <c r="R12" s="19">
        <f t="shared" si="6"/>
        <v>4.9975104531161385E-3</v>
      </c>
      <c r="S12" s="19">
        <f t="shared" si="6"/>
        <v>1.8937717574696311E-3</v>
      </c>
      <c r="T12" s="19">
        <f>+T6/S6-1</f>
        <v>-1.2277642288119894E-3</v>
      </c>
      <c r="U12" s="19">
        <f t="shared" si="6"/>
        <v>5.5745122284376336E-3</v>
      </c>
      <c r="V12" s="19">
        <f t="shared" si="6"/>
        <v>4.6195296975504174E-3</v>
      </c>
      <c r="W12" s="19">
        <f>+W6/V6-1</f>
        <v>2.2027871019860701E-3</v>
      </c>
      <c r="X12" s="19">
        <f t="shared" si="6"/>
        <v>2.7571558219576797E-3</v>
      </c>
      <c r="Y12" s="19">
        <f t="shared" si="6"/>
        <v>1.5743463884430042E-3</v>
      </c>
      <c r="Z12" s="19">
        <f>+Z6/Y6-1</f>
        <v>2.6855959884275471E-3</v>
      </c>
      <c r="AA12" s="19">
        <f t="shared" si="6"/>
        <v>5.7137358474754762E-3</v>
      </c>
      <c r="AB12" s="19">
        <f t="shared" si="6"/>
        <v>3.16642258615496E-3</v>
      </c>
      <c r="AC12" s="19">
        <f>+AC6/AB6-1</f>
        <v>4.3542489366907855E-3</v>
      </c>
      <c r="AD12" s="19">
        <f t="shared" si="6"/>
        <v>1.3748448253556589E-3</v>
      </c>
      <c r="AE12" s="19">
        <f t="shared" si="6"/>
        <v>3.5853144209530008E-4</v>
      </c>
      <c r="AF12" s="19">
        <f>+AF6/AE6-1</f>
        <v>5.5611284996937016E-4</v>
      </c>
      <c r="AG12" s="19">
        <f t="shared" si="6"/>
        <v>3.6637830456063281E-3</v>
      </c>
      <c r="AH12" s="19">
        <f t="shared" si="6"/>
        <v>3.5260833945272019E-3</v>
      </c>
      <c r="AI12" s="19">
        <f>+AI6/AH6-1</f>
        <v>2.2266661130243559E-3</v>
      </c>
      <c r="AJ12" s="19">
        <f t="shared" si="6"/>
        <v>1.6792613066280992E-3</v>
      </c>
      <c r="AK12" s="19">
        <f t="shared" si="6"/>
        <v>2.0883473440496125E-3</v>
      </c>
      <c r="AL12" s="19">
        <f>+AL6/AK6-1</f>
        <v>1.2131782673396874E-3</v>
      </c>
      <c r="AM12" s="19">
        <f t="shared" si="6"/>
        <v>4.4294339958808049E-3</v>
      </c>
      <c r="AN12" s="19">
        <f t="shared" si="6"/>
        <v>2.9717293759337071E-3</v>
      </c>
      <c r="AO12" s="19">
        <f>+AO6/AN6-1</f>
        <v>3.2570537191036752E-3</v>
      </c>
      <c r="AP12" s="19">
        <f t="shared" si="6"/>
        <v>1.4614419897012176E-3</v>
      </c>
      <c r="AQ12" s="19">
        <f t="shared" si="6"/>
        <v>9.5748062309830573E-4</v>
      </c>
      <c r="AR12" s="19">
        <f>+AR6/AQ6-1</f>
        <v>1.3852176962592111E-5</v>
      </c>
      <c r="AS12" s="19">
        <f t="shared" si="6"/>
        <v>4.3428603989998926E-3</v>
      </c>
      <c r="AT12" s="19">
        <f t="shared" si="6"/>
        <v>3.8019491729204269E-3</v>
      </c>
      <c r="AU12" s="19">
        <f>+AU6/AT6-1</f>
        <v>1.9410053506085934E-3</v>
      </c>
      <c r="AV12" s="19">
        <f t="shared" si="6"/>
        <v>-1.5032675837600706E-4</v>
      </c>
      <c r="AW12" s="19">
        <f t="shared" si="6"/>
        <v>1.6647610422015902E-3</v>
      </c>
      <c r="AX12" s="19">
        <f>+AX6/AW6-1</f>
        <v>1.8242720877947871E-3</v>
      </c>
      <c r="AY12" s="19">
        <f t="shared" si="6"/>
        <v>3.467313672096628E-3</v>
      </c>
      <c r="AZ12" s="19">
        <f t="shared" si="6"/>
        <v>2.5348248546182006E-3</v>
      </c>
      <c r="BA12" s="19">
        <f>+BA6/AZ6-1</f>
        <v>1.321989818122038E-3</v>
      </c>
      <c r="BB12" s="19">
        <f t="shared" si="6"/>
        <v>-3.0986308771917548E-3</v>
      </c>
      <c r="BC12" s="19">
        <f t="shared" si="6"/>
        <v>8.6486813755708436E-3</v>
      </c>
      <c r="BD12" s="19">
        <f>+BD6/BC6-1</f>
        <v>7.0447020122976767E-3</v>
      </c>
      <c r="BE12" s="19">
        <f t="shared" si="6"/>
        <v>6.2756831329129348E-3</v>
      </c>
      <c r="BF12" s="19">
        <f t="shared" si="6"/>
        <v>5.0397278682263735E-3</v>
      </c>
      <c r="BG12" s="19">
        <f>+BG6/BF6-1</f>
        <v>3.32178716256748E-3</v>
      </c>
      <c r="BH12" s="19">
        <f t="shared" si="6"/>
        <v>-7.7551496372020301E-3</v>
      </c>
      <c r="BI12" s="19">
        <f t="shared" si="6"/>
        <v>1.2201895123446604E-2</v>
      </c>
      <c r="BJ12" s="19">
        <f>+BJ6/BI6-1</f>
        <v>4.0175516673657263E-3</v>
      </c>
      <c r="BK12" s="19">
        <f t="shared" si="6"/>
        <v>6.2361676364344198E-3</v>
      </c>
      <c r="BL12" s="19">
        <f t="shared" si="6"/>
        <v>6.1911155955802766E-3</v>
      </c>
      <c r="BM12" s="19">
        <f>+BM6/BL6-1</f>
        <v>3.6362572266548376E-3</v>
      </c>
      <c r="BN12" s="19">
        <f t="shared" si="6"/>
        <v>4.1278963655526635E-3</v>
      </c>
      <c r="BO12" s="19">
        <f t="shared" ref="BO12:CX12" si="11">+BO6/BN6-1</f>
        <v>5.2850292474888594E-3</v>
      </c>
      <c r="BP12" s="19">
        <f t="shared" si="7"/>
        <v>3.3100716859431056E-3</v>
      </c>
      <c r="BQ12" s="19">
        <f t="shared" si="7"/>
        <v>7.3345923297558624E-3</v>
      </c>
      <c r="BR12" s="19">
        <f t="shared" si="11"/>
        <v>6.7551325881940461E-3</v>
      </c>
      <c r="BS12" s="19">
        <f>+BS6/BR6-1</f>
        <v>6.6640212655386666E-3</v>
      </c>
      <c r="BT12" s="19">
        <f t="shared" si="11"/>
        <v>8.1634752424530888E-4</v>
      </c>
      <c r="BU12" s="19">
        <f t="shared" si="11"/>
        <v>9.8633139856636465E-3</v>
      </c>
      <c r="BV12" s="19">
        <f>+BV6/BU6-1</f>
        <v>6.4847410036967812E-3</v>
      </c>
      <c r="BW12" s="19">
        <f t="shared" si="11"/>
        <v>9.0708692070051722E-3</v>
      </c>
      <c r="BX12" s="19">
        <f t="shared" si="11"/>
        <v>6.1653932340401951E-3</v>
      </c>
      <c r="BY12" s="19">
        <f>+BY6/BX6-1</f>
        <v>7.7267763945740864E-3</v>
      </c>
      <c r="BZ12" s="19">
        <f t="shared" si="11"/>
        <v>4.1255281154159995E-3</v>
      </c>
      <c r="CA12" s="19">
        <f t="shared" si="11"/>
        <v>6.8681143359818897E-3</v>
      </c>
      <c r="CB12" s="19">
        <f>+CB6/CA6-1</f>
        <v>3.7893136877853451E-3</v>
      </c>
      <c r="CC12" s="19">
        <f t="shared" si="11"/>
        <v>7.994708413634255E-3</v>
      </c>
      <c r="CD12" s="19">
        <f t="shared" si="11"/>
        <v>7.71624443885921E-3</v>
      </c>
      <c r="CE12" s="19">
        <f>+CE6/CD6-1</f>
        <v>6.8811456779833691E-3</v>
      </c>
      <c r="CF12" s="19">
        <f t="shared" si="11"/>
        <v>1.7861316669229854E-3</v>
      </c>
      <c r="CG12" s="19">
        <f t="shared" si="11"/>
        <v>5.6711082406766256E-3</v>
      </c>
      <c r="CH12" s="19">
        <f>+CH6/CG6-1</f>
        <v>5.0442706430293693E-3</v>
      </c>
      <c r="CI12" s="19">
        <f t="shared" si="11"/>
        <v>6.1530685942094987E-3</v>
      </c>
      <c r="CJ12" s="19">
        <f t="shared" si="11"/>
        <v>3.4965781050892986E-3</v>
      </c>
      <c r="CK12" s="19">
        <f>+CK6/CJ6-1</f>
        <v>4.502449711057066E-3</v>
      </c>
      <c r="CL12" s="19">
        <f t="shared" si="11"/>
        <v>1.418447276127166E-3</v>
      </c>
      <c r="CM12" s="19">
        <f t="shared" si="11"/>
        <v>1.1416684507872255E-3</v>
      </c>
      <c r="CN12" s="19">
        <f>+CN6/CM6-1</f>
        <v>2.2522995634213228E-3</v>
      </c>
      <c r="CO12" s="19">
        <f t="shared" si="11"/>
        <v>3.1304761176693674E-3</v>
      </c>
      <c r="CP12" s="19">
        <f t="shared" si="11"/>
        <v>3.4979330391617935E-3</v>
      </c>
      <c r="CQ12" s="19">
        <f>+CQ6/CP6-1</f>
        <v>2.0586902335535395E-3</v>
      </c>
      <c r="CR12" s="19">
        <f t="shared" si="11"/>
        <v>-2.7381590648014598E-3</v>
      </c>
      <c r="CS12" s="19">
        <f t="shared" si="11"/>
        <v>2.3584531133824527E-3</v>
      </c>
      <c r="CT12" s="19">
        <f>+CT6/CS6-1</f>
        <v>2.0624151304848848E-3</v>
      </c>
      <c r="CU12" s="19">
        <f t="shared" si="11"/>
        <v>3.9917982429136245E-3</v>
      </c>
      <c r="CV12" s="19">
        <f t="shared" si="11"/>
        <v>1.3406323680456023E-3</v>
      </c>
      <c r="CW12" s="19">
        <f>+CW6/CV6-1</f>
        <v>2.6795423645857852E-3</v>
      </c>
      <c r="CX12" s="19">
        <f t="shared" si="11"/>
        <v>-1.4231369762851553E-3</v>
      </c>
      <c r="DI12" s="19">
        <f>+DI6/DH6-1</f>
        <v>2.697146638280068E-2</v>
      </c>
      <c r="DJ12" s="19">
        <f t="shared" si="9"/>
        <v>1.2676850010122864E-2</v>
      </c>
      <c r="DK12" s="19">
        <f t="shared" si="9"/>
        <v>8.9794818250172881E-3</v>
      </c>
      <c r="DL12" s="19">
        <f t="shared" si="9"/>
        <v>6.5481809695770998E-3</v>
      </c>
      <c r="DM12" s="19">
        <f t="shared" si="9"/>
        <v>1.1607743630239975E-2</v>
      </c>
      <c r="DN12" s="19">
        <f t="shared" si="9"/>
        <v>6.0956678273274001E-3</v>
      </c>
      <c r="DO12" s="19">
        <f t="shared" si="9"/>
        <v>7.7629036560913356E-3</v>
      </c>
      <c r="DP12" s="19">
        <f t="shared" si="9"/>
        <v>6.0061786597542799E-3</v>
      </c>
      <c r="DQ12" s="19">
        <f t="shared" si="9"/>
        <v>8.6364996179957298E-3</v>
      </c>
      <c r="DR12" s="19">
        <f t="shared" si="9"/>
        <v>5.6852587527853604E-3</v>
      </c>
      <c r="DS12" s="19">
        <f t="shared" si="9"/>
        <v>8.1752861354464912E-3</v>
      </c>
      <c r="DT12" s="19">
        <f t="shared" si="9"/>
        <v>3.4581284155990044E-3</v>
      </c>
      <c r="DU12" s="19">
        <f t="shared" si="9"/>
        <v>7.8461652147530092E-3</v>
      </c>
      <c r="DV12" s="19">
        <f t="shared" si="9"/>
        <v>6.8525429274934879E-3</v>
      </c>
      <c r="DW12" s="19">
        <f t="shared" si="9"/>
        <v>1.8471677255233354E-2</v>
      </c>
      <c r="DX12" s="19">
        <f t="shared" si="9"/>
        <v>7.6883619358540933E-3</v>
      </c>
      <c r="DY12" s="19">
        <f t="shared" si="9"/>
        <v>1.6533526099548945E-2</v>
      </c>
      <c r="DZ12" s="19">
        <f t="shared" si="9"/>
        <v>1.3105306040283704E-2</v>
      </c>
      <c r="EA12" s="19">
        <f t="shared" si="9"/>
        <v>1.7496144748361919E-2</v>
      </c>
      <c r="EB12" s="19">
        <f t="shared" si="9"/>
        <v>1.7422957816790596E-2</v>
      </c>
      <c r="EC12" s="19">
        <f t="shared" si="9"/>
        <v>2.1876094798397361E-2</v>
      </c>
      <c r="ED12" s="19">
        <f t="shared" si="9"/>
        <v>1.8833917796857946E-2</v>
      </c>
      <c r="EE12" s="19">
        <f t="shared" si="9"/>
        <v>1.9621723152751347E-2</v>
      </c>
      <c r="EF12" s="19">
        <f t="shared" si="9"/>
        <v>1.4399898987263571E-2</v>
      </c>
      <c r="EG12" s="19">
        <f t="shared" si="9"/>
        <v>1.4764215982708384E-2</v>
      </c>
      <c r="EH12" s="19">
        <f t="shared" si="9"/>
        <v>7.0757189180419289E-3</v>
      </c>
      <c r="EI12" s="19">
        <f t="shared" si="9"/>
        <v>8.9066127422643415E-3</v>
      </c>
      <c r="EJ12" s="19">
        <f t="shared" si="9"/>
        <v>1.6717314707790365E-3</v>
      </c>
      <c r="EK12" s="19">
        <f t="shared" si="9"/>
        <v>7.4112059980340206E-3</v>
      </c>
      <c r="EL12" s="19">
        <f t="shared" si="9"/>
        <v>-1</v>
      </c>
      <c r="EM12" s="19" t="e">
        <f t="shared" si="9"/>
        <v>#DIV/0!</v>
      </c>
      <c r="EN12" s="19" t="e">
        <f t="shared" si="9"/>
        <v>#DIV/0!</v>
      </c>
    </row>
    <row r="13" spans="1:144">
      <c r="A13" s="94"/>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row>
    <row r="14" spans="1:144">
      <c r="A14" s="93" t="s">
        <v>445</v>
      </c>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row>
    <row r="15" spans="1:144">
      <c r="A15" s="94" t="s">
        <v>440</v>
      </c>
      <c r="B15" s="19"/>
      <c r="C15" s="19"/>
      <c r="D15" s="19"/>
      <c r="E15" s="19"/>
      <c r="F15" s="19"/>
      <c r="G15" s="19"/>
      <c r="H15" s="19"/>
      <c r="I15" s="19"/>
      <c r="J15" s="19"/>
      <c r="K15" s="19"/>
      <c r="L15" s="19"/>
      <c r="M15" s="19"/>
      <c r="N15" s="19">
        <f>+N3/B3-1</f>
        <v>4.718281449606665E-2</v>
      </c>
      <c r="O15" s="19">
        <f t="shared" ref="O15:BZ15" si="12">+O3/C3-1</f>
        <v>4.8642316221079174E-2</v>
      </c>
      <c r="P15" s="19">
        <f t="shared" si="12"/>
        <v>5.3525622279226193E-2</v>
      </c>
      <c r="Q15" s="19">
        <f t="shared" si="12"/>
        <v>5.817169871418848E-2</v>
      </c>
      <c r="R15" s="19">
        <f t="shared" si="12"/>
        <v>6.164014481771396E-2</v>
      </c>
      <c r="S15" s="19">
        <f t="shared" si="12"/>
        <v>6.3136558986047753E-2</v>
      </c>
      <c r="T15" s="19">
        <f t="shared" si="12"/>
        <v>6.4381642633649871E-2</v>
      </c>
      <c r="U15" s="19">
        <f t="shared" si="12"/>
        <v>6.663488000535267E-2</v>
      </c>
      <c r="V15" s="19">
        <f t="shared" si="12"/>
        <v>6.3478470530525133E-2</v>
      </c>
      <c r="W15" s="19">
        <f t="shared" si="12"/>
        <v>6.371532225408405E-2</v>
      </c>
      <c r="X15" s="19">
        <f t="shared" si="12"/>
        <v>6.6345231359622892E-2</v>
      </c>
      <c r="Y15" s="19">
        <f t="shared" si="12"/>
        <v>6.773048198179743E-2</v>
      </c>
      <c r="Z15" s="19">
        <f t="shared" si="12"/>
        <v>5.5458354066678428E-2</v>
      </c>
      <c r="AA15" s="19">
        <f t="shared" si="12"/>
        <v>5.339217031870902E-2</v>
      </c>
      <c r="AB15" s="19">
        <f t="shared" si="12"/>
        <v>5.0354120567544847E-2</v>
      </c>
      <c r="AC15" s="19">
        <f t="shared" si="12"/>
        <v>4.5507834159787652E-2</v>
      </c>
      <c r="AD15" s="19">
        <f t="shared" si="12"/>
        <v>4.5062692817092742E-2</v>
      </c>
      <c r="AE15" s="19">
        <f t="shared" si="12"/>
        <v>4.6468577938105549E-2</v>
      </c>
      <c r="AF15" s="19">
        <f t="shared" si="12"/>
        <v>4.8114055136106559E-2</v>
      </c>
      <c r="AG15" s="19">
        <f t="shared" si="12"/>
        <v>4.9045281971250576E-2</v>
      </c>
      <c r="AH15" s="19">
        <f t="shared" si="12"/>
        <v>5.0195736443805039E-2</v>
      </c>
      <c r="AI15" s="19">
        <f t="shared" si="12"/>
        <v>4.903635727992417E-2</v>
      </c>
      <c r="AJ15" s="19">
        <f t="shared" si="12"/>
        <v>4.7165339115990967E-2</v>
      </c>
      <c r="AK15" s="19">
        <f t="shared" si="12"/>
        <v>4.8305461995368004E-2</v>
      </c>
      <c r="AL15" s="19">
        <f t="shared" si="12"/>
        <v>4.365605864281985E-2</v>
      </c>
      <c r="AM15" s="19">
        <f t="shared" si="12"/>
        <v>3.9402756478725154E-2</v>
      </c>
      <c r="AN15" s="19">
        <f t="shared" si="12"/>
        <v>4.0041779576549974E-2</v>
      </c>
      <c r="AO15" s="19">
        <f t="shared" si="12"/>
        <v>4.4134533855607172E-2</v>
      </c>
      <c r="AP15" s="19">
        <f t="shared" si="12"/>
        <v>4.28199324596088E-2</v>
      </c>
      <c r="AQ15" s="19">
        <f t="shared" si="12"/>
        <v>3.947146913412225E-2</v>
      </c>
      <c r="AR15" s="19">
        <f t="shared" si="12"/>
        <v>3.7813381657405332E-2</v>
      </c>
      <c r="AS15" s="19">
        <f t="shared" si="12"/>
        <v>3.1624407913067643E-2</v>
      </c>
      <c r="AT15" s="19">
        <f t="shared" si="12"/>
        <v>2.9975128075547142E-2</v>
      </c>
      <c r="AU15" s="19">
        <f t="shared" si="12"/>
        <v>3.0195189274447864E-2</v>
      </c>
      <c r="AV15" s="19">
        <f t="shared" si="12"/>
        <v>2.9744973265691144E-2</v>
      </c>
      <c r="AW15" s="19">
        <f t="shared" si="12"/>
        <v>2.8285769753445988E-2</v>
      </c>
      <c r="AX15" s="19">
        <f t="shared" si="12"/>
        <v>3.2383520192419635E-2</v>
      </c>
      <c r="AY15" s="19">
        <f t="shared" si="12"/>
        <v>3.6961941811620269E-2</v>
      </c>
      <c r="AZ15" s="19">
        <f t="shared" si="12"/>
        <v>3.249062584560658E-2</v>
      </c>
      <c r="BA15" s="19">
        <f t="shared" si="12"/>
        <v>2.1481488636253765E-2</v>
      </c>
      <c r="BB15" s="19">
        <f t="shared" si="12"/>
        <v>2.8372710276752588E-2</v>
      </c>
      <c r="BC15" s="19">
        <f t="shared" si="12"/>
        <v>3.3340109778410065E-2</v>
      </c>
      <c r="BD15" s="19">
        <f t="shared" si="12"/>
        <v>3.6234050556000374E-2</v>
      </c>
      <c r="BE15" s="19">
        <f t="shared" si="12"/>
        <v>4.0484228802932343E-2</v>
      </c>
      <c r="BF15" s="19">
        <f t="shared" si="12"/>
        <v>4.0137769140482282E-2</v>
      </c>
      <c r="BG15" s="19">
        <f t="shared" si="12"/>
        <v>4.0869640106025562E-2</v>
      </c>
      <c r="BH15" s="19">
        <f t="shared" si="12"/>
        <v>3.3318778121618209E-2</v>
      </c>
      <c r="BI15" s="19">
        <f t="shared" si="12"/>
        <v>3.1500745747352177E-2</v>
      </c>
      <c r="BJ15" s="19">
        <f t="shared" si="12"/>
        <v>3.5350925812845713E-2</v>
      </c>
      <c r="BK15" s="19">
        <f t="shared" si="12"/>
        <v>3.759039751517923E-2</v>
      </c>
      <c r="BL15" s="19">
        <f t="shared" si="12"/>
        <v>4.6668788258859228E-2</v>
      </c>
      <c r="BM15" s="19">
        <f t="shared" si="12"/>
        <v>6.0848186846957697E-2</v>
      </c>
      <c r="BN15" s="19">
        <f t="shared" si="12"/>
        <v>5.8938226484052558E-2</v>
      </c>
      <c r="BO15" s="19">
        <f t="shared" si="12"/>
        <v>5.8786056228511629E-2</v>
      </c>
      <c r="BP15" s="19">
        <f t="shared" si="12"/>
        <v>5.8058151222962762E-2</v>
      </c>
      <c r="BQ15" s="19">
        <f t="shared" si="12"/>
        <v>5.5920717179489543E-2</v>
      </c>
      <c r="BR15" s="19">
        <f t="shared" si="12"/>
        <v>6.0001479919344236E-2</v>
      </c>
      <c r="BS15" s="19">
        <f t="shared" si="12"/>
        <v>6.2395425377387959E-2</v>
      </c>
      <c r="BT15" s="19">
        <f t="shared" si="12"/>
        <v>7.3748805761740366E-2</v>
      </c>
      <c r="BU15" s="19">
        <f t="shared" si="12"/>
        <v>7.3551079426380284E-2</v>
      </c>
      <c r="BV15" s="19">
        <f t="shared" si="12"/>
        <v>7.0701388258778808E-2</v>
      </c>
      <c r="BW15" s="19">
        <f t="shared" si="12"/>
        <v>7.2799733109722542E-2</v>
      </c>
      <c r="BX15" s="19">
        <f t="shared" si="12"/>
        <v>7.453677207039644E-2</v>
      </c>
      <c r="BY15" s="19">
        <f t="shared" si="12"/>
        <v>7.6825028968713793E-2</v>
      </c>
      <c r="BZ15" s="19">
        <f t="shared" si="12"/>
        <v>7.6526209982298532E-2</v>
      </c>
      <c r="CA15" s="19">
        <f t="shared" ref="CA15:CD18" si="13">+CA3/BO3-1</f>
        <v>7.9863384593604536E-2</v>
      </c>
      <c r="CB15" s="19">
        <f t="shared" si="13"/>
        <v>8.1508066360549414E-2</v>
      </c>
      <c r="CC15" s="19">
        <f t="shared" si="13"/>
        <v>8.6954231380433455E-2</v>
      </c>
      <c r="CD15" s="19">
        <f t="shared" si="13"/>
        <v>8.6997495658851065E-2</v>
      </c>
      <c r="CE15" s="19">
        <f t="shared" ref="CE15:CG18" si="14">+CE3/BT3-1</f>
        <v>7.1797679750864152E-2</v>
      </c>
      <c r="CF15" s="19">
        <f t="shared" si="14"/>
        <v>7.4069969652538648E-2</v>
      </c>
      <c r="CG15" s="19">
        <f t="shared" si="14"/>
        <v>7.1829291028965514E-2</v>
      </c>
      <c r="CH15" s="19">
        <f t="shared" ref="CH15:CJ18" si="15">+CH3/BX3-1</f>
        <v>5.9729192153729516E-2</v>
      </c>
      <c r="CI15" s="19">
        <f t="shared" si="15"/>
        <v>5.9904477315431803E-2</v>
      </c>
      <c r="CJ15" s="19">
        <f t="shared" si="15"/>
        <v>6.0873229660722838E-2</v>
      </c>
      <c r="CK15" s="19">
        <f t="shared" ref="CK15:CX18" si="16">+CK3/CB3-1</f>
        <v>4.4043010053030685E-2</v>
      </c>
      <c r="CL15" s="19">
        <f t="shared" si="16"/>
        <v>3.4579129746452164E-2</v>
      </c>
      <c r="CM15" s="19">
        <f t="shared" si="16"/>
        <v>2.9244366666399069E-2</v>
      </c>
      <c r="CN15" s="19">
        <f t="shared" si="16"/>
        <v>2.8385325201954137E-2</v>
      </c>
      <c r="CO15" s="19">
        <f t="shared" si="16"/>
        <v>2.8159400620649588E-2</v>
      </c>
      <c r="CP15" s="19">
        <f t="shared" si="16"/>
        <v>2.8795521750818454E-2</v>
      </c>
      <c r="CQ15" s="19">
        <f t="shared" si="16"/>
        <v>2.5703650185336491E-2</v>
      </c>
      <c r="CR15" s="19">
        <f t="shared" si="16"/>
        <v>2.6545147837495842E-2</v>
      </c>
      <c r="CS15" s="19">
        <f t="shared" si="16"/>
        <v>3.1030695776117723E-2</v>
      </c>
      <c r="CT15" s="19">
        <f t="shared" si="16"/>
        <v>4.0447792588206966E-2</v>
      </c>
      <c r="CU15" s="19">
        <f t="shared" si="16"/>
        <v>4.3697885762468358E-2</v>
      </c>
      <c r="CV15" s="19">
        <f t="shared" si="16"/>
        <v>4.5634642082767796E-2</v>
      </c>
      <c r="CW15" s="19">
        <f t="shared" si="16"/>
        <v>4.2722305017387052E-2</v>
      </c>
      <c r="CX15" s="19">
        <f t="shared" si="16"/>
        <v>3.5061175653247956E-2</v>
      </c>
      <c r="DI15" s="19">
        <f>+DI3/DE3-1</f>
        <v>5.3525622279226193E-2</v>
      </c>
      <c r="DJ15" s="19">
        <f t="shared" ref="DJ15:EN15" si="17">+DJ3/DF3-1</f>
        <v>6.3136558986047753E-2</v>
      </c>
      <c r="DK15" s="19">
        <f t="shared" si="17"/>
        <v>6.3478470530525133E-2</v>
      </c>
      <c r="DL15" s="19">
        <f t="shared" si="17"/>
        <v>6.773048198179743E-2</v>
      </c>
      <c r="DM15" s="19">
        <f t="shared" si="17"/>
        <v>5.0354120567544847E-2</v>
      </c>
      <c r="DN15" s="19">
        <f t="shared" si="17"/>
        <v>4.6468577938105549E-2</v>
      </c>
      <c r="DO15" s="19">
        <f t="shared" si="17"/>
        <v>5.0195736443805039E-2</v>
      </c>
      <c r="DP15" s="19">
        <f t="shared" si="17"/>
        <v>4.8305461995368004E-2</v>
      </c>
      <c r="DQ15" s="19">
        <f t="shared" si="17"/>
        <v>4.0041779576549974E-2</v>
      </c>
      <c r="DR15" s="19">
        <f t="shared" si="17"/>
        <v>3.947146913412225E-2</v>
      </c>
      <c r="DS15" s="19">
        <f t="shared" si="17"/>
        <v>2.9975128075547142E-2</v>
      </c>
      <c r="DT15" s="19">
        <f t="shared" si="17"/>
        <v>2.8285769753445988E-2</v>
      </c>
      <c r="DU15" s="19">
        <f t="shared" si="17"/>
        <v>3.249062584560658E-2</v>
      </c>
      <c r="DV15" s="19">
        <f t="shared" si="17"/>
        <v>3.3340109778410065E-2</v>
      </c>
      <c r="DW15" s="19">
        <f t="shared" si="17"/>
        <v>4.0137769140482282E-2</v>
      </c>
      <c r="DX15" s="19">
        <f t="shared" si="17"/>
        <v>3.1500745747352177E-2</v>
      </c>
      <c r="DY15" s="19">
        <f t="shared" si="17"/>
        <v>4.6668788258859228E-2</v>
      </c>
      <c r="DZ15" s="19">
        <f t="shared" si="17"/>
        <v>5.8786056228511629E-2</v>
      </c>
      <c r="EA15" s="19">
        <f t="shared" si="17"/>
        <v>6.0001479919344236E-2</v>
      </c>
      <c r="EB15" s="19">
        <f t="shared" si="17"/>
        <v>7.3551079426380284E-2</v>
      </c>
      <c r="EC15" s="19">
        <f t="shared" si="17"/>
        <v>7.453677207039644E-2</v>
      </c>
      <c r="ED15" s="19">
        <f t="shared" si="17"/>
        <v>7.9863384593604536E-2</v>
      </c>
      <c r="EE15" s="19">
        <f t="shared" si="17"/>
        <v>8.6997495658851065E-2</v>
      </c>
      <c r="EF15" s="19">
        <f t="shared" si="17"/>
        <v>7.8170286766460872E-2</v>
      </c>
      <c r="EG15" s="19">
        <f t="shared" si="17"/>
        <v>6.8492580663953584E-2</v>
      </c>
      <c r="EH15" s="19">
        <f t="shared" si="17"/>
        <v>5.0555537347186208E-2</v>
      </c>
      <c r="EI15" s="19">
        <f t="shared" si="17"/>
        <v>4.4544878021369305E-2</v>
      </c>
      <c r="EJ15" s="19">
        <f t="shared" si="17"/>
        <v>4.6608896408861566E-2</v>
      </c>
      <c r="EK15" s="19">
        <f t="shared" si="17"/>
        <v>4.4209394885854625E-2</v>
      </c>
      <c r="EL15" s="19">
        <f t="shared" si="17"/>
        <v>-1</v>
      </c>
      <c r="EM15" s="19">
        <f t="shared" si="17"/>
        <v>-1</v>
      </c>
      <c r="EN15" s="19">
        <f t="shared" si="17"/>
        <v>-1</v>
      </c>
    </row>
    <row r="16" spans="1:144">
      <c r="A16" s="94" t="s">
        <v>441</v>
      </c>
      <c r="B16" s="19"/>
      <c r="C16" s="19"/>
      <c r="D16" s="19"/>
      <c r="E16" s="19"/>
      <c r="F16" s="19"/>
      <c r="G16" s="19"/>
      <c r="H16" s="19"/>
      <c r="I16" s="19"/>
      <c r="J16" s="19"/>
      <c r="K16" s="19"/>
      <c r="L16" s="19"/>
      <c r="M16" s="19"/>
      <c r="N16" s="19">
        <f>+N4/B4-1</f>
        <v>4.7470524036830275E-2</v>
      </c>
      <c r="O16" s="19">
        <f t="shared" ref="O16:X18" si="18">+O4/C4-1</f>
        <v>5.393715630838658E-2</v>
      </c>
      <c r="P16" s="19">
        <f t="shared" si="18"/>
        <v>5.8498670999547864E-2</v>
      </c>
      <c r="Q16" s="19">
        <f t="shared" si="18"/>
        <v>6.0491894947602098E-2</v>
      </c>
      <c r="R16" s="19">
        <f t="shared" si="18"/>
        <v>6.2856543756333538E-2</v>
      </c>
      <c r="S16" s="19">
        <f t="shared" si="18"/>
        <v>6.332961989175212E-2</v>
      </c>
      <c r="T16" s="19">
        <f t="shared" si="18"/>
        <v>6.420865944678833E-2</v>
      </c>
      <c r="U16" s="19">
        <f t="shared" si="18"/>
        <v>6.5104570826769015E-2</v>
      </c>
      <c r="V16" s="19">
        <f t="shared" si="18"/>
        <v>6.1682585289571934E-2</v>
      </c>
      <c r="W16" s="19">
        <f t="shared" si="18"/>
        <v>5.9682943290653379E-2</v>
      </c>
      <c r="X16" s="19">
        <f t="shared" si="18"/>
        <v>6.190735846422557E-2</v>
      </c>
      <c r="Y16" s="19">
        <f t="shared" ref="Y16:AH18" si="19">+Y4/M4-1</f>
        <v>6.166302214930397E-2</v>
      </c>
      <c r="Z16" s="19">
        <f t="shared" si="19"/>
        <v>5.7774044286161175E-2</v>
      </c>
      <c r="AA16" s="19">
        <f t="shared" si="19"/>
        <v>5.1829677713939093E-2</v>
      </c>
      <c r="AB16" s="19">
        <f t="shared" si="19"/>
        <v>4.6373048667042394E-2</v>
      </c>
      <c r="AC16" s="19">
        <f t="shared" si="19"/>
        <v>4.353790976212224E-2</v>
      </c>
      <c r="AD16" s="19">
        <f t="shared" si="19"/>
        <v>4.074199422197311E-2</v>
      </c>
      <c r="AE16" s="19">
        <f t="shared" si="19"/>
        <v>3.879659695489357E-2</v>
      </c>
      <c r="AF16" s="19">
        <f t="shared" si="19"/>
        <v>3.9908222673586957E-2</v>
      </c>
      <c r="AG16" s="19">
        <f t="shared" si="19"/>
        <v>3.9011345589668123E-2</v>
      </c>
      <c r="AH16" s="19">
        <f t="shared" si="19"/>
        <v>3.9539415985169413E-2</v>
      </c>
      <c r="AI16" s="19">
        <f t="shared" ref="AI16:AR18" si="20">+AI4/W4-1</f>
        <v>3.9782873294245569E-2</v>
      </c>
      <c r="AJ16" s="19">
        <f t="shared" si="20"/>
        <v>3.903934684031185E-2</v>
      </c>
      <c r="AK16" s="19">
        <f t="shared" si="20"/>
        <v>3.9193909986320552E-2</v>
      </c>
      <c r="AL16" s="19">
        <f t="shared" si="20"/>
        <v>3.6590189083202551E-2</v>
      </c>
      <c r="AM16" s="19">
        <f t="shared" si="20"/>
        <v>3.6141622576712384E-2</v>
      </c>
      <c r="AN16" s="19">
        <f t="shared" si="20"/>
        <v>3.7053942308166832E-2</v>
      </c>
      <c r="AO16" s="19">
        <f t="shared" si="20"/>
        <v>3.7377455975371676E-2</v>
      </c>
      <c r="AP16" s="19">
        <f t="shared" si="20"/>
        <v>3.8170840117504268E-2</v>
      </c>
      <c r="AQ16" s="19">
        <f t="shared" si="20"/>
        <v>3.9230672679542389E-2</v>
      </c>
      <c r="AR16" s="19">
        <f t="shared" si="20"/>
        <v>3.8462372072988416E-2</v>
      </c>
      <c r="AS16" s="19">
        <f t="shared" ref="AS16:BB18" si="21">+AS4/AG4-1</f>
        <v>3.7610946320212779E-2</v>
      </c>
      <c r="AT16" s="19">
        <f t="shared" si="21"/>
        <v>3.7653129494878756E-2</v>
      </c>
      <c r="AU16" s="19">
        <f t="shared" si="21"/>
        <v>3.7832878864455965E-2</v>
      </c>
      <c r="AV16" s="19">
        <f t="shared" si="21"/>
        <v>3.6337813462166579E-2</v>
      </c>
      <c r="AW16" s="19">
        <f t="shared" si="21"/>
        <v>3.5564481877981002E-2</v>
      </c>
      <c r="AX16" s="19">
        <f t="shared" si="21"/>
        <v>3.923034094091693E-2</v>
      </c>
      <c r="AY16" s="19">
        <f t="shared" si="21"/>
        <v>3.8212246948114981E-2</v>
      </c>
      <c r="AZ16" s="19">
        <f t="shared" si="21"/>
        <v>3.8330944310422499E-2</v>
      </c>
      <c r="BA16" s="19">
        <f t="shared" si="21"/>
        <v>4.1133202561419058E-2</v>
      </c>
      <c r="BB16" s="19">
        <f t="shared" si="21"/>
        <v>4.2977281811804602E-2</v>
      </c>
      <c r="BC16" s="19">
        <f t="shared" ref="BC16:BL18" si="22">+BC4/AQ4-1</f>
        <v>4.6855949648672235E-2</v>
      </c>
      <c r="BD16" s="19">
        <f t="shared" si="22"/>
        <v>5.1939781480050629E-2</v>
      </c>
      <c r="BE16" s="19">
        <f t="shared" si="22"/>
        <v>5.363722670138471E-2</v>
      </c>
      <c r="BF16" s="19">
        <f t="shared" si="22"/>
        <v>5.3998987917658114E-2</v>
      </c>
      <c r="BG16" s="19">
        <f t="shared" si="22"/>
        <v>5.4382236065925849E-2</v>
      </c>
      <c r="BH16" s="19">
        <f t="shared" si="22"/>
        <v>4.9899043446274494E-2</v>
      </c>
      <c r="BI16" s="19">
        <f t="shared" si="22"/>
        <v>5.5207279290209854E-2</v>
      </c>
      <c r="BJ16" s="19">
        <f t="shared" si="22"/>
        <v>5.4052374452466578E-2</v>
      </c>
      <c r="BK16" s="19">
        <f t="shared" si="22"/>
        <v>5.5352280953761435E-2</v>
      </c>
      <c r="BL16" s="19">
        <f t="shared" si="22"/>
        <v>5.7929376294544976E-2</v>
      </c>
      <c r="BM16" s="19">
        <f t="shared" ref="BM16:BV18" si="23">+BM4/BA4-1</f>
        <v>5.5935034289603225E-2</v>
      </c>
      <c r="BN16" s="19">
        <f t="shared" si="23"/>
        <v>5.7564060863600996E-2</v>
      </c>
      <c r="BO16" s="19">
        <f t="shared" si="23"/>
        <v>5.8054580662882493E-2</v>
      </c>
      <c r="BP16" s="19">
        <f t="shared" si="23"/>
        <v>5.7408125569567536E-2</v>
      </c>
      <c r="BQ16" s="19">
        <f t="shared" si="23"/>
        <v>5.9880397365129623E-2</v>
      </c>
      <c r="BR16" s="19">
        <f t="shared" si="23"/>
        <v>6.2599025938615549E-2</v>
      </c>
      <c r="BS16" s="19">
        <f t="shared" si="23"/>
        <v>6.5810963624686192E-2</v>
      </c>
      <c r="BT16" s="19">
        <f t="shared" si="23"/>
        <v>7.2432138945886626E-2</v>
      </c>
      <c r="BU16" s="19">
        <f t="shared" si="23"/>
        <v>7.39597162445782E-2</v>
      </c>
      <c r="BV16" s="19">
        <f t="shared" si="23"/>
        <v>7.8635726267613171E-2</v>
      </c>
      <c r="BW16" s="19">
        <f t="shared" ref="BW16:BZ18" si="24">+BW4/BK4-1</f>
        <v>8.3420365045308031E-2</v>
      </c>
      <c r="BX16" s="19">
        <f t="shared" si="24"/>
        <v>8.6948402667058389E-2</v>
      </c>
      <c r="BY16" s="19">
        <f t="shared" si="24"/>
        <v>9.3260631516585812E-2</v>
      </c>
      <c r="BZ16" s="19">
        <f t="shared" si="24"/>
        <v>9.531488817298972E-2</v>
      </c>
      <c r="CA16" s="19">
        <f t="shared" si="13"/>
        <v>9.9138161143112136E-2</v>
      </c>
      <c r="CB16" s="19">
        <f t="shared" si="13"/>
        <v>0.10074753352426202</v>
      </c>
      <c r="CC16" s="19">
        <f t="shared" si="13"/>
        <v>0.10553460202165765</v>
      </c>
      <c r="CD16" s="19">
        <f t="shared" si="13"/>
        <v>0.10838172762601683</v>
      </c>
      <c r="CE16" s="19">
        <f t="shared" si="14"/>
        <v>0.10798419148574401</v>
      </c>
      <c r="CF16" s="19">
        <f t="shared" si="14"/>
        <v>0.10268770193155352</v>
      </c>
      <c r="CG16" s="19">
        <f t="shared" si="14"/>
        <v>9.9980162399078143E-2</v>
      </c>
      <c r="CH16" s="19">
        <f t="shared" si="15"/>
        <v>8.9261685774930877E-2</v>
      </c>
      <c r="CI16" s="19">
        <f t="shared" si="15"/>
        <v>8.5190830502044124E-2</v>
      </c>
      <c r="CJ16" s="19">
        <f t="shared" si="15"/>
        <v>8.1288949248268905E-2</v>
      </c>
      <c r="CK16" s="19">
        <f t="shared" si="16"/>
        <v>6.8154265540771641E-2</v>
      </c>
      <c r="CL16" s="19">
        <f t="shared" si="16"/>
        <v>5.9813492932083046E-2</v>
      </c>
      <c r="CM16" s="19">
        <f t="shared" si="16"/>
        <v>5.2922076477363245E-2</v>
      </c>
      <c r="CN16" s="19">
        <f t="shared" si="16"/>
        <v>4.7020156729174589E-2</v>
      </c>
      <c r="CO16" s="19">
        <f t="shared" si="16"/>
        <v>4.5024018963184087E-2</v>
      </c>
      <c r="CP16" s="19">
        <f t="shared" si="16"/>
        <v>4.0529041793895493E-2</v>
      </c>
      <c r="CQ16" s="19">
        <f t="shared" si="16"/>
        <v>3.4700244692462689E-2</v>
      </c>
      <c r="CR16" s="19">
        <f t="shared" si="16"/>
        <v>2.9443442607345549E-2</v>
      </c>
      <c r="CS16" s="19">
        <f t="shared" si="16"/>
        <v>2.8151662553470569E-2</v>
      </c>
      <c r="CT16" s="19">
        <f t="shared" si="16"/>
        <v>2.7232731034663615E-2</v>
      </c>
      <c r="CU16" s="19">
        <f t="shared" si="16"/>
        <v>2.7769078076415044E-2</v>
      </c>
      <c r="CV16" s="19">
        <f t="shared" si="16"/>
        <v>2.7200240665292474E-2</v>
      </c>
      <c r="CW16" s="19">
        <f t="shared" si="16"/>
        <v>2.7061320567260738E-2</v>
      </c>
      <c r="CX16" s="19">
        <f t="shared" si="16"/>
        <v>2.5319104183360253E-2</v>
      </c>
      <c r="DI16" s="19">
        <f>+DI4/DE4-1</f>
        <v>5.8498670999547864E-2</v>
      </c>
      <c r="DJ16" s="19">
        <f t="shared" ref="DJ16:DS18" si="25">+DJ4/DF4-1</f>
        <v>6.332961989175212E-2</v>
      </c>
      <c r="DK16" s="19">
        <f t="shared" si="25"/>
        <v>6.1682585289571934E-2</v>
      </c>
      <c r="DL16" s="19">
        <f t="shared" si="25"/>
        <v>6.166302214930397E-2</v>
      </c>
      <c r="DM16" s="19">
        <f t="shared" si="25"/>
        <v>4.6373048667042394E-2</v>
      </c>
      <c r="DN16" s="19">
        <f t="shared" si="25"/>
        <v>3.879659695489357E-2</v>
      </c>
      <c r="DO16" s="19">
        <f t="shared" si="25"/>
        <v>3.9539415985169413E-2</v>
      </c>
      <c r="DP16" s="19">
        <f t="shared" si="25"/>
        <v>3.9193909986320552E-2</v>
      </c>
      <c r="DQ16" s="19">
        <f t="shared" si="25"/>
        <v>3.7053942308166832E-2</v>
      </c>
      <c r="DR16" s="19">
        <f t="shared" si="25"/>
        <v>3.9230672679542389E-2</v>
      </c>
      <c r="DS16" s="19">
        <f t="shared" si="25"/>
        <v>3.7653129494878756E-2</v>
      </c>
      <c r="DT16" s="19">
        <f t="shared" ref="DT16:EC18" si="26">+DT4/DP4-1</f>
        <v>3.5564481877981002E-2</v>
      </c>
      <c r="DU16" s="19">
        <f t="shared" si="26"/>
        <v>3.8330944310422499E-2</v>
      </c>
      <c r="DV16" s="19">
        <f t="shared" si="26"/>
        <v>4.6855949648672235E-2</v>
      </c>
      <c r="DW16" s="19">
        <f t="shared" si="26"/>
        <v>5.3998987917658114E-2</v>
      </c>
      <c r="DX16" s="19">
        <f t="shared" si="26"/>
        <v>5.5207279290209854E-2</v>
      </c>
      <c r="DY16" s="19">
        <f t="shared" si="26"/>
        <v>5.7929376294544976E-2</v>
      </c>
      <c r="DZ16" s="19">
        <f t="shared" si="26"/>
        <v>5.8054580662882493E-2</v>
      </c>
      <c r="EA16" s="19">
        <f t="shared" si="26"/>
        <v>6.2599025938615549E-2</v>
      </c>
      <c r="EB16" s="19">
        <f t="shared" si="26"/>
        <v>7.39597162445782E-2</v>
      </c>
      <c r="EC16" s="19">
        <f t="shared" si="26"/>
        <v>8.6948402667058389E-2</v>
      </c>
      <c r="ED16" s="19">
        <f t="shared" ref="ED16:EM18" si="27">+ED4/DZ4-1</f>
        <v>9.9138161143112136E-2</v>
      </c>
      <c r="EE16" s="19">
        <f t="shared" si="27"/>
        <v>0.10838172762601683</v>
      </c>
      <c r="EF16" s="19">
        <f t="shared" si="27"/>
        <v>0.11085694827403669</v>
      </c>
      <c r="EG16" s="19">
        <f t="shared" si="27"/>
        <v>0.1012333307844977</v>
      </c>
      <c r="EH16" s="19">
        <f t="shared" si="27"/>
        <v>8.2642981324180909E-2</v>
      </c>
      <c r="EI16" s="19">
        <f t="shared" si="27"/>
        <v>6.1967407385601581E-2</v>
      </c>
      <c r="EJ16" s="19">
        <f t="shared" si="27"/>
        <v>4.8875699662784156E-2</v>
      </c>
      <c r="EK16" s="19">
        <f t="shared" si="27"/>
        <v>3.8789426417503936E-2</v>
      </c>
      <c r="EL16" s="19">
        <f t="shared" si="27"/>
        <v>-1</v>
      </c>
      <c r="EM16" s="19">
        <f t="shared" si="27"/>
        <v>-1</v>
      </c>
      <c r="EN16" s="19">
        <f t="shared" ref="EN16:EN18" si="28">+EN4/EJ4-1</f>
        <v>-1</v>
      </c>
    </row>
    <row r="17" spans="1:144">
      <c r="A17" s="94" t="s">
        <v>442</v>
      </c>
      <c r="B17" s="19"/>
      <c r="C17" s="19"/>
      <c r="D17" s="19"/>
      <c r="E17" s="19"/>
      <c r="F17" s="19"/>
      <c r="G17" s="19"/>
      <c r="H17" s="19"/>
      <c r="I17" s="19"/>
      <c r="J17" s="19"/>
      <c r="K17" s="19"/>
      <c r="L17" s="19"/>
      <c r="M17" s="19"/>
      <c r="N17" s="19">
        <f>+N5/B5-1</f>
        <v>5.2716623219392078E-2</v>
      </c>
      <c r="O17" s="19">
        <f t="shared" si="18"/>
        <v>6.03320666468663E-2</v>
      </c>
      <c r="P17" s="19">
        <f t="shared" si="18"/>
        <v>6.4913480912232258E-2</v>
      </c>
      <c r="Q17" s="19">
        <f t="shared" si="18"/>
        <v>6.773746660652713E-2</v>
      </c>
      <c r="R17" s="19">
        <f t="shared" si="18"/>
        <v>6.7829018015733933E-2</v>
      </c>
      <c r="S17" s="19">
        <f t="shared" si="18"/>
        <v>6.9038347765207453E-2</v>
      </c>
      <c r="T17" s="19">
        <f t="shared" si="18"/>
        <v>7.2507422259883159E-2</v>
      </c>
      <c r="U17" s="19">
        <f t="shared" si="18"/>
        <v>7.5722226212610266E-2</v>
      </c>
      <c r="V17" s="19">
        <f t="shared" si="18"/>
        <v>7.0468139255136508E-2</v>
      </c>
      <c r="W17" s="19">
        <f t="shared" si="18"/>
        <v>6.7327014480261571E-2</v>
      </c>
      <c r="X17" s="19">
        <f t="shared" si="18"/>
        <v>6.8401694892059162E-2</v>
      </c>
      <c r="Y17" s="19">
        <f t="shared" si="19"/>
        <v>6.8188147192099757E-2</v>
      </c>
      <c r="Z17" s="19">
        <f t="shared" si="19"/>
        <v>6.497520749566088E-2</v>
      </c>
      <c r="AA17" s="19">
        <f t="shared" si="19"/>
        <v>5.9650648331374789E-2</v>
      </c>
      <c r="AB17" s="19">
        <f t="shared" si="19"/>
        <v>5.3487524291984778E-2</v>
      </c>
      <c r="AC17" s="19">
        <f t="shared" si="19"/>
        <v>4.8975245674800494E-2</v>
      </c>
      <c r="AD17" s="19">
        <f t="shared" si="19"/>
        <v>4.731189060449803E-2</v>
      </c>
      <c r="AE17" s="19">
        <f t="shared" si="19"/>
        <v>4.4921957440273497E-2</v>
      </c>
      <c r="AF17" s="19">
        <f t="shared" si="19"/>
        <v>4.5133982377343118E-2</v>
      </c>
      <c r="AG17" s="19">
        <f t="shared" si="19"/>
        <v>4.5534478851353644E-2</v>
      </c>
      <c r="AH17" s="19">
        <f t="shared" si="19"/>
        <v>4.7979982682246458E-2</v>
      </c>
      <c r="AI17" s="19">
        <f t="shared" si="20"/>
        <v>4.8447238009075466E-2</v>
      </c>
      <c r="AJ17" s="19">
        <f t="shared" si="20"/>
        <v>4.7910696580103052E-2</v>
      </c>
      <c r="AK17" s="19">
        <f t="shared" si="20"/>
        <v>4.7300794399679713E-2</v>
      </c>
      <c r="AL17" s="19">
        <f t="shared" si="20"/>
        <v>4.2957487432844887E-2</v>
      </c>
      <c r="AM17" s="19">
        <f t="shared" si="20"/>
        <v>4.342119456833049E-2</v>
      </c>
      <c r="AN17" s="19">
        <f t="shared" si="20"/>
        <v>4.5551577274737909E-2</v>
      </c>
      <c r="AO17" s="19">
        <f t="shared" si="20"/>
        <v>4.7517809915299969E-2</v>
      </c>
      <c r="AP17" s="19">
        <f t="shared" si="20"/>
        <v>4.880931030767699E-2</v>
      </c>
      <c r="AQ17" s="19">
        <f t="shared" si="20"/>
        <v>5.0065872979713211E-2</v>
      </c>
      <c r="AR17" s="19">
        <f t="shared" si="20"/>
        <v>4.8679198378603017E-2</v>
      </c>
      <c r="AS17" s="19">
        <f t="shared" si="21"/>
        <v>4.6282542168258223E-2</v>
      </c>
      <c r="AT17" s="19">
        <f t="shared" si="21"/>
        <v>4.6090587610930323E-2</v>
      </c>
      <c r="AU17" s="19">
        <f t="shared" si="21"/>
        <v>4.6718586249543392E-2</v>
      </c>
      <c r="AV17" s="19">
        <f t="shared" si="21"/>
        <v>4.5571889484171679E-2</v>
      </c>
      <c r="AW17" s="19">
        <f t="shared" si="21"/>
        <v>4.4453245852064782E-2</v>
      </c>
      <c r="AX17" s="19">
        <f t="shared" si="21"/>
        <v>5.0962045892581909E-2</v>
      </c>
      <c r="AY17" s="19">
        <f t="shared" si="21"/>
        <v>4.9899890488789067E-2</v>
      </c>
      <c r="AZ17" s="19">
        <f t="shared" si="21"/>
        <v>5.0542385130661671E-2</v>
      </c>
      <c r="BA17" s="19">
        <f t="shared" si="21"/>
        <v>5.7845172715648152E-2</v>
      </c>
      <c r="BB17" s="19">
        <f t="shared" si="21"/>
        <v>6.5762926105663588E-2</v>
      </c>
      <c r="BC17" s="19">
        <f t="shared" si="22"/>
        <v>6.5876137747816976E-2</v>
      </c>
      <c r="BD17" s="19">
        <f t="shared" si="22"/>
        <v>6.8908672257196102E-2</v>
      </c>
      <c r="BE17" s="19">
        <f t="shared" si="22"/>
        <v>7.037493010574436E-2</v>
      </c>
      <c r="BF17" s="19">
        <f t="shared" si="22"/>
        <v>6.9876599620365409E-2</v>
      </c>
      <c r="BG17" s="19">
        <f t="shared" si="22"/>
        <v>6.9260902769806121E-2</v>
      </c>
      <c r="BH17" s="19">
        <f t="shared" si="22"/>
        <v>6.7930462965872795E-2</v>
      </c>
      <c r="BI17" s="19">
        <f t="shared" si="22"/>
        <v>6.8044603589475949E-2</v>
      </c>
      <c r="BJ17" s="19">
        <f t="shared" si="22"/>
        <v>6.3598045415340865E-2</v>
      </c>
      <c r="BK17" s="19">
        <f t="shared" si="22"/>
        <v>6.3430408007210781E-2</v>
      </c>
      <c r="BL17" s="19">
        <f t="shared" si="22"/>
        <v>6.4849505626712878E-2</v>
      </c>
      <c r="BM17" s="19">
        <f t="shared" si="23"/>
        <v>5.8753201801662103E-2</v>
      </c>
      <c r="BN17" s="19">
        <f t="shared" si="23"/>
        <v>5.4942304872569903E-2</v>
      </c>
      <c r="BO17" s="19">
        <f t="shared" si="23"/>
        <v>5.9059344178132633E-2</v>
      </c>
      <c r="BP17" s="19">
        <f t="shared" si="23"/>
        <v>6.1376192429812848E-2</v>
      </c>
      <c r="BQ17" s="19">
        <f t="shared" si="23"/>
        <v>6.5098928490328278E-2</v>
      </c>
      <c r="BR17" s="19">
        <f t="shared" si="23"/>
        <v>6.866189427410152E-2</v>
      </c>
      <c r="BS17" s="19">
        <f t="shared" si="23"/>
        <v>7.1600374821442214E-2</v>
      </c>
      <c r="BT17" s="19">
        <f t="shared" si="23"/>
        <v>7.5887637471125924E-2</v>
      </c>
      <c r="BU17" s="19">
        <f t="shared" si="23"/>
        <v>8.1079047430267837E-2</v>
      </c>
      <c r="BV17" s="19">
        <f t="shared" si="23"/>
        <v>8.7599500839957933E-2</v>
      </c>
      <c r="BW17" s="19">
        <f t="shared" si="24"/>
        <v>9.4013741758013136E-2</v>
      </c>
      <c r="BX17" s="19">
        <f t="shared" si="24"/>
        <v>0.10077776554037321</v>
      </c>
      <c r="BY17" s="19">
        <f t="shared" si="24"/>
        <v>0.10883329649804141</v>
      </c>
      <c r="BZ17" s="19">
        <f t="shared" si="24"/>
        <v>0.11268607456127411</v>
      </c>
      <c r="CA17" s="19">
        <f t="shared" si="13"/>
        <v>0.11838929776750917</v>
      </c>
      <c r="CB17" s="19">
        <f t="shared" si="13"/>
        <v>0.12089264361541652</v>
      </c>
      <c r="CC17" s="19">
        <f t="shared" si="13"/>
        <v>0.12935790992957785</v>
      </c>
      <c r="CD17" s="19">
        <f t="shared" si="13"/>
        <v>0.13383679664040038</v>
      </c>
      <c r="CE17" s="19">
        <f t="shared" si="14"/>
        <v>0.13358611629129236</v>
      </c>
      <c r="CF17" s="19">
        <f t="shared" si="14"/>
        <v>0.13131717041460611</v>
      </c>
      <c r="CG17" s="19">
        <f t="shared" si="14"/>
        <v>0.12678580253712934</v>
      </c>
      <c r="CH17" s="19">
        <f t="shared" si="15"/>
        <v>0.11595502698689386</v>
      </c>
      <c r="CI17" s="19">
        <f t="shared" si="15"/>
        <v>0.1096286375212947</v>
      </c>
      <c r="CJ17" s="19">
        <f t="shared" si="15"/>
        <v>0.10271446294166942</v>
      </c>
      <c r="CK17" s="19">
        <f t="shared" si="16"/>
        <v>8.3557146391254777E-2</v>
      </c>
      <c r="CL17" s="19">
        <f t="shared" si="16"/>
        <v>7.3842937423220123E-2</v>
      </c>
      <c r="CM17" s="19">
        <f t="shared" si="16"/>
        <v>6.6837595519021242E-2</v>
      </c>
      <c r="CN17" s="19">
        <f t="shared" si="16"/>
        <v>5.9919055783568931E-2</v>
      </c>
      <c r="CO17" s="19">
        <f t="shared" si="16"/>
        <v>5.4993169284516696E-2</v>
      </c>
      <c r="CP17" s="19">
        <f t="shared" si="16"/>
        <v>4.8552413923386606E-2</v>
      </c>
      <c r="CQ17" s="19">
        <f t="shared" si="16"/>
        <v>4.0341599662901517E-2</v>
      </c>
      <c r="CR17" s="19">
        <f t="shared" si="16"/>
        <v>3.829379636171959E-2</v>
      </c>
      <c r="CS17" s="19">
        <f t="shared" si="16"/>
        <v>3.687229399042824E-2</v>
      </c>
      <c r="CT17" s="19">
        <f t="shared" si="16"/>
        <v>3.7246508310955662E-2</v>
      </c>
      <c r="CU17" s="19">
        <f t="shared" si="16"/>
        <v>3.6016366817149148E-2</v>
      </c>
      <c r="CV17" s="19">
        <f t="shared" si="16"/>
        <v>3.4781396402269849E-2</v>
      </c>
      <c r="CW17" s="19">
        <f t="shared" si="16"/>
        <v>3.4155188650292656E-2</v>
      </c>
      <c r="CX17" s="19">
        <f t="shared" si="16"/>
        <v>3.4817789105731523E-2</v>
      </c>
      <c r="DI17" s="19">
        <f>+DI5/DE5-1</f>
        <v>6.4913480912232258E-2</v>
      </c>
      <c r="DJ17" s="19">
        <f t="shared" si="25"/>
        <v>6.9038347765207453E-2</v>
      </c>
      <c r="DK17" s="19">
        <f t="shared" si="25"/>
        <v>7.0468139255136508E-2</v>
      </c>
      <c r="DL17" s="19">
        <f t="shared" si="25"/>
        <v>6.8188147192099757E-2</v>
      </c>
      <c r="DM17" s="19">
        <f t="shared" si="25"/>
        <v>5.3487524291984778E-2</v>
      </c>
      <c r="DN17" s="19">
        <f t="shared" si="25"/>
        <v>4.4921957440273497E-2</v>
      </c>
      <c r="DO17" s="19">
        <f t="shared" si="25"/>
        <v>4.7979982682246458E-2</v>
      </c>
      <c r="DP17" s="19">
        <f t="shared" si="25"/>
        <v>4.7300794399679713E-2</v>
      </c>
      <c r="DQ17" s="19">
        <f t="shared" si="25"/>
        <v>4.5551577274737909E-2</v>
      </c>
      <c r="DR17" s="19">
        <f t="shared" si="25"/>
        <v>5.0065872979713211E-2</v>
      </c>
      <c r="DS17" s="19">
        <f t="shared" si="25"/>
        <v>4.6090587610930323E-2</v>
      </c>
      <c r="DT17" s="19">
        <f t="shared" si="26"/>
        <v>4.4453245852064782E-2</v>
      </c>
      <c r="DU17" s="19">
        <f t="shared" si="26"/>
        <v>5.0542385130661671E-2</v>
      </c>
      <c r="DV17" s="19">
        <f t="shared" si="26"/>
        <v>6.5876137747816976E-2</v>
      </c>
      <c r="DW17" s="19">
        <f t="shared" si="26"/>
        <v>6.9876599620365409E-2</v>
      </c>
      <c r="DX17" s="19">
        <f t="shared" si="26"/>
        <v>6.8044603589475949E-2</v>
      </c>
      <c r="DY17" s="19">
        <f t="shared" si="26"/>
        <v>6.4849505626712878E-2</v>
      </c>
      <c r="DZ17" s="19">
        <f t="shared" si="26"/>
        <v>5.9059344178132633E-2</v>
      </c>
      <c r="EA17" s="19">
        <f t="shared" si="26"/>
        <v>6.866189427410152E-2</v>
      </c>
      <c r="EB17" s="19">
        <f t="shared" si="26"/>
        <v>8.1079047430267837E-2</v>
      </c>
      <c r="EC17" s="19">
        <f t="shared" si="26"/>
        <v>0.10077776554037321</v>
      </c>
      <c r="ED17" s="19">
        <f t="shared" si="27"/>
        <v>0.11838929776750917</v>
      </c>
      <c r="EE17" s="19">
        <f t="shared" si="27"/>
        <v>0.13383679664040038</v>
      </c>
      <c r="EF17" s="19">
        <f t="shared" si="27"/>
        <v>0.14136689451233964</v>
      </c>
      <c r="EG17" s="19">
        <f t="shared" si="27"/>
        <v>0.12945676796489836</v>
      </c>
      <c r="EH17" s="19">
        <f t="shared" si="27"/>
        <v>0.10493116607423536</v>
      </c>
      <c r="EI17" s="19">
        <f t="shared" si="27"/>
        <v>7.5722221538191636E-2</v>
      </c>
      <c r="EJ17" s="19">
        <f t="shared" si="27"/>
        <v>6.2502927982559742E-2</v>
      </c>
      <c r="EK17" s="19">
        <f t="shared" si="27"/>
        <v>5.0103395769994119E-2</v>
      </c>
      <c r="EL17" s="19">
        <f t="shared" si="27"/>
        <v>-1</v>
      </c>
      <c r="EM17" s="19">
        <f t="shared" si="27"/>
        <v>-1</v>
      </c>
      <c r="EN17" s="19">
        <f t="shared" si="28"/>
        <v>-1</v>
      </c>
    </row>
    <row r="18" spans="1:144">
      <c r="A18" s="94" t="s">
        <v>443</v>
      </c>
      <c r="B18" s="19"/>
      <c r="C18" s="19"/>
      <c r="D18" s="19"/>
      <c r="E18" s="19"/>
      <c r="F18" s="19"/>
      <c r="G18" s="19"/>
      <c r="H18" s="19"/>
      <c r="I18" s="19"/>
      <c r="J18" s="19"/>
      <c r="K18" s="19"/>
      <c r="L18" s="19"/>
      <c r="M18" s="19"/>
      <c r="N18" s="19">
        <f>+N6/B6-1</f>
        <v>4.3096511407251459E-2</v>
      </c>
      <c r="O18" s="19">
        <f t="shared" si="18"/>
        <v>4.8625584418948931E-2</v>
      </c>
      <c r="P18" s="19">
        <f t="shared" si="18"/>
        <v>5.3171535669932712E-2</v>
      </c>
      <c r="Q18" s="19">
        <f t="shared" si="18"/>
        <v>5.4479285788265663E-2</v>
      </c>
      <c r="R18" s="19">
        <f t="shared" si="18"/>
        <v>5.8715836737289084E-2</v>
      </c>
      <c r="S18" s="19">
        <f t="shared" si="18"/>
        <v>5.8568675762948219E-2</v>
      </c>
      <c r="T18" s="19">
        <f t="shared" si="18"/>
        <v>5.7282227434868327E-2</v>
      </c>
      <c r="U18" s="19">
        <f t="shared" si="18"/>
        <v>5.6293671571031156E-2</v>
      </c>
      <c r="V18" s="19">
        <f t="shared" si="18"/>
        <v>5.4390478115956542E-2</v>
      </c>
      <c r="W18" s="19">
        <f t="shared" si="18"/>
        <v>5.3326684312384076E-2</v>
      </c>
      <c r="X18" s="19">
        <f t="shared" si="18"/>
        <v>5.6489295159679154E-2</v>
      </c>
      <c r="Y18" s="19">
        <f t="shared" si="19"/>
        <v>5.6199997890521658E-2</v>
      </c>
      <c r="Z18" s="19">
        <f t="shared" si="19"/>
        <v>5.1714594687653825E-2</v>
      </c>
      <c r="AA18" s="19">
        <f t="shared" si="19"/>
        <v>4.5261109646613784E-2</v>
      </c>
      <c r="AB18" s="19">
        <f t="shared" si="19"/>
        <v>4.0399009771542538E-2</v>
      </c>
      <c r="AC18" s="19">
        <f t="shared" si="19"/>
        <v>3.8969101719529053E-2</v>
      </c>
      <c r="AD18" s="19">
        <f t="shared" si="19"/>
        <v>3.52239803496186E-2</v>
      </c>
      <c r="AE18" s="19">
        <f t="shared" si="19"/>
        <v>3.363766687520009E-2</v>
      </c>
      <c r="AF18" s="19">
        <f t="shared" si="19"/>
        <v>3.5483816052825023E-2</v>
      </c>
      <c r="AG18" s="19">
        <f t="shared" si="19"/>
        <v>3.3516255099736547E-2</v>
      </c>
      <c r="AH18" s="19">
        <f t="shared" si="19"/>
        <v>3.2391357071332338E-2</v>
      </c>
      <c r="AI18" s="19">
        <f t="shared" si="20"/>
        <v>3.2415955371125849E-2</v>
      </c>
      <c r="AJ18" s="19">
        <f t="shared" si="20"/>
        <v>3.1306179699746028E-2</v>
      </c>
      <c r="AK18" s="19">
        <f t="shared" si="20"/>
        <v>3.1835438824443285E-2</v>
      </c>
      <c r="AL18" s="19">
        <f t="shared" si="20"/>
        <v>3.0320215317244381E-2</v>
      </c>
      <c r="AM18" s="19">
        <f t="shared" si="20"/>
        <v>2.9004490858979493E-2</v>
      </c>
      <c r="AN18" s="19">
        <f t="shared" si="20"/>
        <v>2.8804783030700332E-2</v>
      </c>
      <c r="AO18" s="19">
        <f t="shared" si="20"/>
        <v>2.7680877109092394E-2</v>
      </c>
      <c r="AP18" s="19">
        <f t="shared" si="20"/>
        <v>2.7769749173604197E-2</v>
      </c>
      <c r="AQ18" s="19">
        <f t="shared" si="20"/>
        <v>2.8385110396784707E-2</v>
      </c>
      <c r="AR18" s="19">
        <f t="shared" si="20"/>
        <v>2.7827767540235193E-2</v>
      </c>
      <c r="AS18" s="19">
        <f t="shared" si="21"/>
        <v>2.8523194207926261E-2</v>
      </c>
      <c r="AT18" s="19">
        <f t="shared" si="21"/>
        <v>2.8805931603855139E-2</v>
      </c>
      <c r="AU18" s="19">
        <f t="shared" si="21"/>
        <v>2.8512695056937654E-2</v>
      </c>
      <c r="AV18" s="19">
        <f t="shared" si="21"/>
        <v>2.6634095165464444E-2</v>
      </c>
      <c r="AW18" s="19">
        <f t="shared" si="21"/>
        <v>2.6200133288874605E-2</v>
      </c>
      <c r="AX18" s="19">
        <f t="shared" si="21"/>
        <v>2.6826477981109154E-2</v>
      </c>
      <c r="AY18" s="19">
        <f t="shared" si="21"/>
        <v>2.5842904033524627E-2</v>
      </c>
      <c r="AZ18" s="19">
        <f t="shared" si="21"/>
        <v>2.5396036599673266E-2</v>
      </c>
      <c r="BA18" s="19">
        <f t="shared" si="21"/>
        <v>2.3418271432432913E-2</v>
      </c>
      <c r="BB18" s="19">
        <f t="shared" si="21"/>
        <v>1.8758219936321874E-2</v>
      </c>
      <c r="BC18" s="19">
        <f t="shared" si="22"/>
        <v>2.6586198786017201E-2</v>
      </c>
      <c r="BD18" s="19">
        <f t="shared" si="22"/>
        <v>3.3803872212219588E-2</v>
      </c>
      <c r="BE18" s="19">
        <f t="shared" si="22"/>
        <v>3.5793391633730076E-2</v>
      </c>
      <c r="BF18" s="19">
        <f t="shared" si="22"/>
        <v>3.7070618674342137E-2</v>
      </c>
      <c r="BG18" s="19">
        <f t="shared" si="22"/>
        <v>3.8499812848784787E-2</v>
      </c>
      <c r="BH18" s="19">
        <f t="shared" si="22"/>
        <v>3.0601018312198303E-2</v>
      </c>
      <c r="BI18" s="19">
        <f t="shared" si="22"/>
        <v>4.1442550865389061E-2</v>
      </c>
      <c r="BJ18" s="19">
        <f t="shared" si="22"/>
        <v>4.372256617720538E-2</v>
      </c>
      <c r="BK18" s="19">
        <f t="shared" si="22"/>
        <v>4.6602495922453802E-2</v>
      </c>
      <c r="BL18" s="19">
        <f t="shared" si="22"/>
        <v>5.0419503492104889E-2</v>
      </c>
      <c r="BM18" s="19">
        <f t="shared" si="23"/>
        <v>5.2847245663891762E-2</v>
      </c>
      <c r="BN18" s="19">
        <f t="shared" si="23"/>
        <v>6.0479323960597853E-2</v>
      </c>
      <c r="BO18" s="19">
        <f t="shared" si="23"/>
        <v>5.6942826465788743E-2</v>
      </c>
      <c r="BP18" s="19">
        <f t="shared" si="23"/>
        <v>5.3023148694728128E-2</v>
      </c>
      <c r="BQ18" s="19">
        <f t="shared" si="23"/>
        <v>5.4131250495588423E-2</v>
      </c>
      <c r="BR18" s="19">
        <f t="shared" si="23"/>
        <v>5.5930444768635734E-2</v>
      </c>
      <c r="BS18" s="19">
        <f t="shared" si="23"/>
        <v>5.9447927183576388E-2</v>
      </c>
      <c r="BT18" s="19">
        <f t="shared" si="23"/>
        <v>6.8599957448318927E-2</v>
      </c>
      <c r="BU18" s="19">
        <f t="shared" si="23"/>
        <v>6.6131074791248246E-2</v>
      </c>
      <c r="BV18" s="19">
        <f t="shared" si="23"/>
        <v>6.8750896740065848E-2</v>
      </c>
      <c r="BW18" s="19">
        <f t="shared" si="24"/>
        <v>7.1761710645368071E-2</v>
      </c>
      <c r="BX18" s="19">
        <f t="shared" si="24"/>
        <v>7.1734312031149994E-2</v>
      </c>
      <c r="BY18" s="19">
        <f t="shared" si="24"/>
        <v>7.6102378364658607E-2</v>
      </c>
      <c r="BZ18" s="19">
        <f t="shared" si="24"/>
        <v>7.6099840361667281E-2</v>
      </c>
      <c r="CA18" s="19">
        <f t="shared" si="13"/>
        <v>7.7794441953696669E-2</v>
      </c>
      <c r="CB18" s="19">
        <f t="shared" si="13"/>
        <v>7.8309262227620913E-2</v>
      </c>
      <c r="CC18" s="19">
        <f t="shared" si="13"/>
        <v>7.9015888697923309E-2</v>
      </c>
      <c r="CD18" s="19">
        <f t="shared" si="13"/>
        <v>8.0045985217041871E-2</v>
      </c>
      <c r="CE18" s="19">
        <f t="shared" si="14"/>
        <v>7.9397773470177402E-2</v>
      </c>
      <c r="CF18" s="19">
        <f t="shared" si="14"/>
        <v>7.0764434195427661E-2</v>
      </c>
      <c r="CG18" s="19">
        <f t="shared" si="14"/>
        <v>6.9898838335256563E-2</v>
      </c>
      <c r="CH18" s="19">
        <f t="shared" si="15"/>
        <v>5.9099745308712315E-2</v>
      </c>
      <c r="CI18" s="19">
        <f t="shared" si="15"/>
        <v>5.7445811355980148E-2</v>
      </c>
      <c r="CJ18" s="19">
        <f t="shared" si="15"/>
        <v>5.6783463337380713E-2</v>
      </c>
      <c r="CK18" s="19">
        <f t="shared" si="16"/>
        <v>5.0320527261846992E-2</v>
      </c>
      <c r="CL18" s="19">
        <f t="shared" si="16"/>
        <v>4.3468128129486194E-2</v>
      </c>
      <c r="CM18" s="19">
        <f t="shared" si="16"/>
        <v>3.6660298507429134E-2</v>
      </c>
      <c r="CN18" s="19">
        <f t="shared" si="16"/>
        <v>3.1894551313269792E-2</v>
      </c>
      <c r="CO18" s="19">
        <f t="shared" si="16"/>
        <v>3.3279299684167318E-2</v>
      </c>
      <c r="CP18" s="19">
        <f t="shared" si="16"/>
        <v>3.1046465378883781E-2</v>
      </c>
      <c r="CQ18" s="19">
        <f t="shared" si="16"/>
        <v>2.7983642955822896E-2</v>
      </c>
      <c r="CR18" s="19">
        <f t="shared" si="16"/>
        <v>1.8899501700824661E-2</v>
      </c>
      <c r="CS18" s="19">
        <f t="shared" si="16"/>
        <v>1.7743907339842213E-2</v>
      </c>
      <c r="CT18" s="19">
        <f t="shared" si="16"/>
        <v>1.5271707965126557E-2</v>
      </c>
      <c r="CU18" s="19">
        <f t="shared" si="16"/>
        <v>1.7880657738669647E-2</v>
      </c>
      <c r="CV18" s="19">
        <f t="shared" si="16"/>
        <v>1.8082948312868385E-2</v>
      </c>
      <c r="CW18" s="19">
        <f t="shared" si="16"/>
        <v>1.8516939445484937E-2</v>
      </c>
      <c r="CX18" s="19">
        <f t="shared" si="16"/>
        <v>1.3893480999856322E-2</v>
      </c>
      <c r="DI18" s="19">
        <f>+DI6/DE6-1</f>
        <v>5.3171535669932712E-2</v>
      </c>
      <c r="DJ18" s="19">
        <f t="shared" si="25"/>
        <v>5.8568675762948219E-2</v>
      </c>
      <c r="DK18" s="19">
        <f t="shared" si="25"/>
        <v>5.4390478115956542E-2</v>
      </c>
      <c r="DL18" s="19">
        <f t="shared" si="25"/>
        <v>5.6199997890521658E-2</v>
      </c>
      <c r="DM18" s="19">
        <f t="shared" si="25"/>
        <v>4.0399009771542538E-2</v>
      </c>
      <c r="DN18" s="19">
        <f t="shared" si="25"/>
        <v>3.363766687520009E-2</v>
      </c>
      <c r="DO18" s="19">
        <f t="shared" si="25"/>
        <v>3.2391357071332338E-2</v>
      </c>
      <c r="DP18" s="19">
        <f t="shared" si="25"/>
        <v>3.1835438824443285E-2</v>
      </c>
      <c r="DQ18" s="19">
        <f t="shared" si="25"/>
        <v>2.8804783030700332E-2</v>
      </c>
      <c r="DR18" s="19">
        <f t="shared" si="25"/>
        <v>2.8385110396784707E-2</v>
      </c>
      <c r="DS18" s="19">
        <f t="shared" si="25"/>
        <v>2.8805931603855139E-2</v>
      </c>
      <c r="DT18" s="19">
        <f t="shared" si="26"/>
        <v>2.6200133288874605E-2</v>
      </c>
      <c r="DU18" s="19">
        <f t="shared" si="26"/>
        <v>2.5396036599673266E-2</v>
      </c>
      <c r="DV18" s="19">
        <f t="shared" si="26"/>
        <v>2.6586198786017201E-2</v>
      </c>
      <c r="DW18" s="19">
        <f t="shared" si="26"/>
        <v>3.7070618674342137E-2</v>
      </c>
      <c r="DX18" s="19">
        <f t="shared" si="26"/>
        <v>4.1442550865389061E-2</v>
      </c>
      <c r="DY18" s="19">
        <f t="shared" si="26"/>
        <v>5.0419503492104889E-2</v>
      </c>
      <c r="DZ18" s="19">
        <f t="shared" si="26"/>
        <v>5.6942826465788743E-2</v>
      </c>
      <c r="EA18" s="19">
        <f t="shared" si="26"/>
        <v>5.5930444768635734E-2</v>
      </c>
      <c r="EB18" s="19">
        <f t="shared" si="26"/>
        <v>6.6131074791248246E-2</v>
      </c>
      <c r="EC18" s="19">
        <f t="shared" si="26"/>
        <v>7.1734312031149994E-2</v>
      </c>
      <c r="ED18" s="19">
        <f t="shared" si="27"/>
        <v>7.7794441953696669E-2</v>
      </c>
      <c r="EE18" s="19">
        <f t="shared" si="27"/>
        <v>8.0045985217041871E-2</v>
      </c>
      <c r="EF18" s="19">
        <f t="shared" si="27"/>
        <v>7.6836855202016663E-2</v>
      </c>
      <c r="EG18" s="19">
        <f t="shared" si="27"/>
        <v>6.9342469867583967E-2</v>
      </c>
      <c r="EH18" s="19">
        <f t="shared" si="27"/>
        <v>5.7001359888190439E-2</v>
      </c>
      <c r="EI18" s="19">
        <f t="shared" si="27"/>
        <v>4.589343033151505E-2</v>
      </c>
      <c r="EJ18" s="19">
        <f t="shared" si="27"/>
        <v>3.2770098202893116E-2</v>
      </c>
      <c r="EK18" s="19">
        <f t="shared" si="27"/>
        <v>2.5286617090381824E-2</v>
      </c>
      <c r="EL18" s="19">
        <f t="shared" si="27"/>
        <v>-1</v>
      </c>
      <c r="EM18" s="19">
        <f t="shared" si="27"/>
        <v>-1</v>
      </c>
      <c r="EN18" s="19">
        <f t="shared" si="28"/>
        <v>-1</v>
      </c>
    </row>
    <row r="19" spans="1:144">
      <c r="A19" s="94"/>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row>
    <row r="20" spans="1:144">
      <c r="A20" s="153" t="s">
        <v>446</v>
      </c>
    </row>
    <row r="21" spans="1:144">
      <c r="A21" s="94" t="s">
        <v>440</v>
      </c>
      <c r="B21" s="152">
        <v>100</v>
      </c>
      <c r="C21" s="152">
        <v>100</v>
      </c>
      <c r="D21" s="152">
        <v>100</v>
      </c>
      <c r="E21" s="152">
        <v>100</v>
      </c>
      <c r="F21" s="152">
        <v>100</v>
      </c>
      <c r="G21" s="152">
        <v>100</v>
      </c>
      <c r="H21" s="152">
        <v>100</v>
      </c>
      <c r="I21" s="152">
        <v>100</v>
      </c>
      <c r="J21" s="152">
        <v>100</v>
      </c>
      <c r="K21" s="152">
        <v>100</v>
      </c>
      <c r="L21" s="152">
        <v>100</v>
      </c>
      <c r="M21" s="152">
        <v>100</v>
      </c>
      <c r="N21" s="152">
        <f>+B21*(1+N15)</f>
        <v>104.71828144960666</v>
      </c>
      <c r="O21" s="152">
        <f t="shared" ref="O21:BZ24" si="29">+C21*(1+O15)</f>
        <v>104.86423162210792</v>
      </c>
      <c r="P21" s="152">
        <f t="shared" si="29"/>
        <v>105.35256222792262</v>
      </c>
      <c r="Q21" s="152">
        <f t="shared" si="29"/>
        <v>105.81716987141886</v>
      </c>
      <c r="R21" s="152">
        <f t="shared" si="29"/>
        <v>106.1640144817714</v>
      </c>
      <c r="S21" s="152">
        <f t="shared" si="29"/>
        <v>106.31365589860478</v>
      </c>
      <c r="T21" s="152">
        <f t="shared" si="29"/>
        <v>106.43816426336498</v>
      </c>
      <c r="U21" s="152">
        <f t="shared" si="29"/>
        <v>106.66348800053527</v>
      </c>
      <c r="V21" s="152">
        <f t="shared" si="29"/>
        <v>106.34784705305252</v>
      </c>
      <c r="W21" s="152">
        <f t="shared" si="29"/>
        <v>106.3715322254084</v>
      </c>
      <c r="X21" s="152">
        <f t="shared" si="29"/>
        <v>106.63452313596228</v>
      </c>
      <c r="Y21" s="152">
        <f t="shared" si="29"/>
        <v>106.77304819817974</v>
      </c>
      <c r="Z21" s="152">
        <f t="shared" si="29"/>
        <v>110.52578497949304</v>
      </c>
      <c r="AA21" s="152">
        <f t="shared" si="29"/>
        <v>110.46316053721605</v>
      </c>
      <c r="AB21" s="152">
        <f t="shared" si="29"/>
        <v>110.65749784844721</v>
      </c>
      <c r="AC21" s="152">
        <f t="shared" si="29"/>
        <v>110.63268008918546</v>
      </c>
      <c r="AD21" s="152">
        <f t="shared" si="29"/>
        <v>110.94805085459285</v>
      </c>
      <c r="AE21" s="152">
        <f t="shared" si="29"/>
        <v>111.25390030361403</v>
      </c>
      <c r="AF21" s="152">
        <f t="shared" si="29"/>
        <v>111.55933596731849</v>
      </c>
      <c r="AG21" s="152">
        <f t="shared" si="29"/>
        <v>111.89482884555862</v>
      </c>
      <c r="AH21" s="152">
        <f t="shared" si="29"/>
        <v>111.68605555509363</v>
      </c>
      <c r="AI21" s="152">
        <f t="shared" si="29"/>
        <v>111.5876046840265</v>
      </c>
      <c r="AJ21" s="152">
        <f t="shared" si="29"/>
        <v>111.66397658114192</v>
      </c>
      <c r="AK21" s="152">
        <f t="shared" si="29"/>
        <v>111.9307696200465</v>
      </c>
      <c r="AL21" s="152">
        <f t="shared" si="29"/>
        <v>115.35090513010148</v>
      </c>
      <c r="AM21" s="152">
        <f t="shared" si="29"/>
        <v>114.81571355173431</v>
      </c>
      <c r="AN21" s="152">
        <f t="shared" si="29"/>
        <v>115.08842098578728</v>
      </c>
      <c r="AO21" s="152">
        <f t="shared" si="29"/>
        <v>115.51540185411817</v>
      </c>
      <c r="AP21" s="152">
        <f t="shared" si="29"/>
        <v>115.69883889871176</v>
      </c>
      <c r="AQ21" s="152">
        <f t="shared" si="29"/>
        <v>115.64525519549885</v>
      </c>
      <c r="AR21" s="152">
        <f t="shared" si="29"/>
        <v>115.77777171569741</v>
      </c>
      <c r="AS21" s="152">
        <f t="shared" si="29"/>
        <v>115.43343655633346</v>
      </c>
      <c r="AT21" s="152">
        <f t="shared" si="29"/>
        <v>115.03385937461023</v>
      </c>
      <c r="AU21" s="152">
        <f t="shared" si="29"/>
        <v>114.95701352814295</v>
      </c>
      <c r="AV21" s="152">
        <f t="shared" si="29"/>
        <v>114.98541857928875</v>
      </c>
      <c r="AW21" s="152">
        <f t="shared" si="29"/>
        <v>115.09681759784515</v>
      </c>
      <c r="AX21" s="152">
        <f t="shared" si="29"/>
        <v>119.08637349559601</v>
      </c>
      <c r="AY21" s="152">
        <f t="shared" si="29"/>
        <v>119.05952527509316</v>
      </c>
      <c r="AZ21" s="152">
        <f t="shared" si="29"/>
        <v>118.82771581119815</v>
      </c>
      <c r="BA21" s="152">
        <f t="shared" si="29"/>
        <v>117.99684464635969</v>
      </c>
      <c r="BB21" s="152">
        <f t="shared" si="29"/>
        <v>118.98152853414157</v>
      </c>
      <c r="BC21" s="152">
        <f t="shared" si="29"/>
        <v>119.50088069906903</v>
      </c>
      <c r="BD21" s="152">
        <f t="shared" si="29"/>
        <v>119.97286934930506</v>
      </c>
      <c r="BE21" s="152">
        <f t="shared" si="29"/>
        <v>120.10667021338884</v>
      </c>
      <c r="BF21" s="152">
        <f t="shared" si="29"/>
        <v>119.65106186552704</v>
      </c>
      <c r="BG21" s="152">
        <f t="shared" si="29"/>
        <v>119.65526529870166</v>
      </c>
      <c r="BH21" s="152">
        <f t="shared" si="29"/>
        <v>118.81659222815347</v>
      </c>
      <c r="BI21" s="152">
        <f t="shared" si="29"/>
        <v>118.72245318532424</v>
      </c>
      <c r="BJ21" s="152">
        <f t="shared" si="29"/>
        <v>123.29618705035966</v>
      </c>
      <c r="BK21" s="152">
        <f t="shared" si="29"/>
        <v>123.53502015815245</v>
      </c>
      <c r="BL21" s="152">
        <f t="shared" si="29"/>
        <v>124.37326131967485</v>
      </c>
      <c r="BM21" s="152">
        <f t="shared" si="29"/>
        <v>125.17673869675282</v>
      </c>
      <c r="BN21" s="152">
        <f t="shared" si="29"/>
        <v>125.99408881030557</v>
      </c>
      <c r="BO21" s="152">
        <f t="shared" si="29"/>
        <v>126.52586619120116</v>
      </c>
      <c r="BP21" s="152">
        <f t="shared" si="29"/>
        <v>126.93827234063977</v>
      </c>
      <c r="BQ21" s="152">
        <f t="shared" si="29"/>
        <v>126.82312134976198</v>
      </c>
      <c r="BR21" s="152">
        <f t="shared" si="29"/>
        <v>126.83030265137968</v>
      </c>
      <c r="BS21" s="152">
        <f t="shared" si="29"/>
        <v>127.12120647565837</v>
      </c>
      <c r="BT21" s="152">
        <f t="shared" si="29"/>
        <v>127.57917400965947</v>
      </c>
      <c r="BU21" s="152">
        <f t="shared" si="29"/>
        <v>127.45461776925274</v>
      </c>
      <c r="BV21" s="152">
        <f t="shared" si="29"/>
        <v>132.01339864183416</v>
      </c>
      <c r="BW21" s="152">
        <f t="shared" si="29"/>
        <v>132.52833665537014</v>
      </c>
      <c r="BX21" s="152">
        <f t="shared" si="29"/>
        <v>133.6436427503113</v>
      </c>
      <c r="BY21" s="152">
        <f t="shared" si="29"/>
        <v>134.79344527333998</v>
      </c>
      <c r="BZ21" s="152">
        <f t="shared" si="29"/>
        <v>135.63593890713139</v>
      </c>
      <c r="CA21" s="152">
        <f t="shared" ref="CA21:CX24" si="30">+BO21*(1+CA15)</f>
        <v>136.63065010386799</v>
      </c>
      <c r="CB21" s="152">
        <f t="shared" si="30"/>
        <v>137.28476546627414</v>
      </c>
      <c r="CC21" s="152">
        <f t="shared" si="30"/>
        <v>137.85092838799798</v>
      </c>
      <c r="CD21" s="152">
        <f t="shared" si="30"/>
        <v>137.86422135570385</v>
      </c>
      <c r="CE21" s="152">
        <f t="shared" si="30"/>
        <v>136.24821414774118</v>
      </c>
      <c r="CF21" s="152">
        <f t="shared" si="30"/>
        <v>137.02895955685088</v>
      </c>
      <c r="CG21" s="152">
        <f t="shared" si="30"/>
        <v>136.60959260198595</v>
      </c>
      <c r="CH21" s="152">
        <f t="shared" si="30"/>
        <v>139.89845229617916</v>
      </c>
      <c r="CI21" s="152">
        <f t="shared" si="30"/>
        <v>140.46737739219367</v>
      </c>
      <c r="CJ21" s="152">
        <f t="shared" si="30"/>
        <v>141.77896290814661</v>
      </c>
      <c r="CK21" s="152">
        <f t="shared" si="30"/>
        <v>140.73015433859635</v>
      </c>
      <c r="CL21" s="152">
        <f t="shared" si="30"/>
        <v>140.32611163688296</v>
      </c>
      <c r="CM21" s="152">
        <f t="shared" si="30"/>
        <v>140.62632693337397</v>
      </c>
      <c r="CN21" s="152">
        <f t="shared" si="30"/>
        <v>141.18163817930832</v>
      </c>
      <c r="CO21" s="152">
        <f t="shared" si="30"/>
        <v>141.73272790640411</v>
      </c>
      <c r="CP21" s="152">
        <f t="shared" si="30"/>
        <v>141.83409354041166</v>
      </c>
      <c r="CQ21" s="152">
        <f t="shared" si="30"/>
        <v>139.75029058257152</v>
      </c>
      <c r="CR21" s="152">
        <f t="shared" si="30"/>
        <v>140.66641354630573</v>
      </c>
      <c r="CS21" s="152">
        <f t="shared" si="30"/>
        <v>140.84868331011756</v>
      </c>
      <c r="CT21" s="152">
        <f t="shared" si="30"/>
        <v>145.55703587806619</v>
      </c>
      <c r="CU21" s="152">
        <f t="shared" si="30"/>
        <v>146.60550480283129</v>
      </c>
      <c r="CV21" s="152">
        <f t="shared" si="30"/>
        <v>148.24899513532588</v>
      </c>
      <c r="CW21" s="152">
        <f t="shared" si="30"/>
        <v>146.74247091739383</v>
      </c>
      <c r="CX21" s="152">
        <f t="shared" si="30"/>
        <v>145.246110085721</v>
      </c>
      <c r="DE21">
        <v>100</v>
      </c>
      <c r="DF21">
        <v>100</v>
      </c>
      <c r="DG21">
        <v>100</v>
      </c>
      <c r="DH21">
        <v>100</v>
      </c>
      <c r="DI21">
        <f>+DE21*(1+DI15)</f>
        <v>105.35256222792262</v>
      </c>
      <c r="DJ21">
        <f t="shared" ref="DJ21:EN24" si="31">+DF21*(1+DJ15)</f>
        <v>106.31365589860478</v>
      </c>
      <c r="DK21">
        <f t="shared" si="31"/>
        <v>106.34784705305252</v>
      </c>
      <c r="DL21">
        <f t="shared" si="31"/>
        <v>106.77304819817974</v>
      </c>
      <c r="DM21">
        <f t="shared" si="31"/>
        <v>110.65749784844721</v>
      </c>
      <c r="DN21">
        <f t="shared" si="31"/>
        <v>111.25390030361403</v>
      </c>
      <c r="DO21">
        <f t="shared" si="31"/>
        <v>111.68605555509363</v>
      </c>
      <c r="DP21">
        <f t="shared" si="31"/>
        <v>111.9307696200465</v>
      </c>
      <c r="DQ21">
        <f t="shared" si="31"/>
        <v>115.08842098578728</v>
      </c>
      <c r="DR21">
        <f t="shared" si="31"/>
        <v>115.64525519549885</v>
      </c>
      <c r="DS21">
        <f t="shared" si="31"/>
        <v>115.03385937461023</v>
      </c>
      <c r="DT21">
        <f t="shared" si="31"/>
        <v>115.09681759784515</v>
      </c>
      <c r="DU21">
        <f t="shared" si="31"/>
        <v>118.82771581119815</v>
      </c>
      <c r="DV21">
        <f t="shared" si="31"/>
        <v>119.50088069906903</v>
      </c>
      <c r="DW21">
        <f t="shared" si="31"/>
        <v>119.65106186552704</v>
      </c>
      <c r="DX21">
        <f t="shared" si="31"/>
        <v>118.72245318532424</v>
      </c>
      <c r="DY21">
        <f t="shared" si="31"/>
        <v>124.37326131967485</v>
      </c>
      <c r="DZ21">
        <f t="shared" si="31"/>
        <v>126.52586619120116</v>
      </c>
      <c r="EA21">
        <f t="shared" si="31"/>
        <v>126.83030265137968</v>
      </c>
      <c r="EB21">
        <f t="shared" si="31"/>
        <v>127.45461776925274</v>
      </c>
      <c r="EC21">
        <f t="shared" si="31"/>
        <v>133.6436427503113</v>
      </c>
      <c r="ED21">
        <f t="shared" si="31"/>
        <v>136.63065010386799</v>
      </c>
      <c r="EE21">
        <f t="shared" si="31"/>
        <v>137.86422135570385</v>
      </c>
      <c r="EF21">
        <f t="shared" si="31"/>
        <v>137.41778178998487</v>
      </c>
      <c r="EG21">
        <f t="shared" si="31"/>
        <v>142.79724073161159</v>
      </c>
      <c r="EH21">
        <f t="shared" si="31"/>
        <v>143.53808603796443</v>
      </c>
      <c r="EI21">
        <f t="shared" si="31"/>
        <v>144.00536627950473</v>
      </c>
      <c r="EJ21">
        <f t="shared" si="31"/>
        <v>143.82267294616983</v>
      </c>
      <c r="EK21">
        <f t="shared" si="31"/>
        <v>149.11022033572587</v>
      </c>
      <c r="EL21">
        <f t="shared" si="31"/>
        <v>0</v>
      </c>
      <c r="EM21">
        <f t="shared" si="31"/>
        <v>0</v>
      </c>
      <c r="EN21">
        <f t="shared" si="31"/>
        <v>0</v>
      </c>
    </row>
    <row r="22" spans="1:144">
      <c r="A22" s="94" t="s">
        <v>441</v>
      </c>
      <c r="B22" s="152">
        <v>100</v>
      </c>
      <c r="C22" s="152">
        <v>100</v>
      </c>
      <c r="D22" s="152">
        <v>100</v>
      </c>
      <c r="E22" s="152">
        <v>100</v>
      </c>
      <c r="F22" s="152">
        <v>100</v>
      </c>
      <c r="G22" s="152">
        <v>100</v>
      </c>
      <c r="H22" s="152">
        <v>100</v>
      </c>
      <c r="I22" s="152">
        <v>100</v>
      </c>
      <c r="J22" s="152">
        <v>100</v>
      </c>
      <c r="K22" s="152">
        <v>100</v>
      </c>
      <c r="L22" s="152">
        <v>100</v>
      </c>
      <c r="M22" s="152">
        <v>100</v>
      </c>
      <c r="N22" s="152">
        <f>+B22*(1+N16)</f>
        <v>104.74705240368303</v>
      </c>
      <c r="O22" s="152">
        <f t="shared" si="29"/>
        <v>105.39371563083866</v>
      </c>
      <c r="P22" s="152">
        <f t="shared" si="29"/>
        <v>105.84986709995479</v>
      </c>
      <c r="Q22" s="152">
        <f t="shared" si="29"/>
        <v>106.04918949476021</v>
      </c>
      <c r="R22" s="152">
        <f t="shared" si="29"/>
        <v>106.28565437563336</v>
      </c>
      <c r="S22" s="152">
        <f t="shared" si="29"/>
        <v>106.33296198917522</v>
      </c>
      <c r="T22" s="152">
        <f t="shared" si="29"/>
        <v>106.42086594467884</v>
      </c>
      <c r="U22" s="152">
        <f t="shared" si="29"/>
        <v>106.51045708267691</v>
      </c>
      <c r="V22" s="152">
        <f t="shared" si="29"/>
        <v>106.1682585289572</v>
      </c>
      <c r="W22" s="152">
        <f t="shared" si="29"/>
        <v>105.96829432906534</v>
      </c>
      <c r="X22" s="152">
        <f t="shared" si="29"/>
        <v>106.19073584642256</v>
      </c>
      <c r="Y22" s="152">
        <f t="shared" si="29"/>
        <v>106.1663022149304</v>
      </c>
      <c r="Z22" s="152">
        <f t="shared" si="29"/>
        <v>110.79871324809825</v>
      </c>
      <c r="AA22" s="152">
        <f t="shared" si="29"/>
        <v>110.85623794505958</v>
      </c>
      <c r="AB22" s="152">
        <f t="shared" si="29"/>
        <v>110.75844813838097</v>
      </c>
      <c r="AC22" s="152">
        <f t="shared" si="29"/>
        <v>110.66634953732928</v>
      </c>
      <c r="AD22" s="152">
        <f t="shared" si="29"/>
        <v>110.61594389208405</v>
      </c>
      <c r="AE22" s="152">
        <f t="shared" si="29"/>
        <v>110.45831905848927</v>
      </c>
      <c r="AF22" s="152">
        <f t="shared" si="29"/>
        <v>110.66793355991503</v>
      </c>
      <c r="AG22" s="152">
        <f t="shared" si="29"/>
        <v>110.66557333284273</v>
      </c>
      <c r="AH22" s="152">
        <f t="shared" si="29"/>
        <v>110.36608946735464</v>
      </c>
      <c r="AI22" s="152">
        <f t="shared" si="29"/>
        <v>110.18401755556587</v>
      </c>
      <c r="AJ22" s="152">
        <f t="shared" si="29"/>
        <v>110.33635281435899</v>
      </c>
      <c r="AK22" s="152">
        <f t="shared" si="29"/>
        <v>110.32737470752288</v>
      </c>
      <c r="AL22" s="152">
        <f t="shared" si="29"/>
        <v>114.8528591160217</v>
      </c>
      <c r="AM22" s="152">
        <f t="shared" si="29"/>
        <v>114.86276225714414</v>
      </c>
      <c r="AN22" s="152">
        <f t="shared" si="29"/>
        <v>114.86248528584262</v>
      </c>
      <c r="AO22" s="152">
        <f t="shared" si="29"/>
        <v>114.8027761451159</v>
      </c>
      <c r="AP22" s="152">
        <f t="shared" si="29"/>
        <v>114.83824740083561</v>
      </c>
      <c r="AQ22" s="152">
        <f t="shared" si="29"/>
        <v>114.79167321820532</v>
      </c>
      <c r="AR22" s="152">
        <f t="shared" si="29"/>
        <v>114.92448479704524</v>
      </c>
      <c r="AS22" s="152">
        <f t="shared" si="29"/>
        <v>114.82781027095984</v>
      </c>
      <c r="AT22" s="152">
        <f t="shared" si="29"/>
        <v>114.52171812591232</v>
      </c>
      <c r="AU22" s="152">
        <f t="shared" si="29"/>
        <v>114.35259614454469</v>
      </c>
      <c r="AV22" s="152">
        <f t="shared" si="29"/>
        <v>114.34573462102297</v>
      </c>
      <c r="AW22" s="152">
        <f t="shared" si="29"/>
        <v>114.2511106259538</v>
      </c>
      <c r="AX22" s="152">
        <f t="shared" si="29"/>
        <v>119.35857593718234</v>
      </c>
      <c r="AY22" s="152">
        <f t="shared" si="29"/>
        <v>119.25192649365675</v>
      </c>
      <c r="AZ22" s="152">
        <f t="shared" si="29"/>
        <v>119.26527281269098</v>
      </c>
      <c r="BA22" s="152">
        <f t="shared" si="29"/>
        <v>119.5249819909062</v>
      </c>
      <c r="BB22" s="152">
        <f t="shared" si="29"/>
        <v>119.77368312215506</v>
      </c>
      <c r="BC22" s="152">
        <f t="shared" si="29"/>
        <v>120.17034607860438</v>
      </c>
      <c r="BD22" s="152">
        <f t="shared" si="29"/>
        <v>120.89363742411116</v>
      </c>
      <c r="BE22" s="152">
        <f t="shared" si="29"/>
        <v>120.98685556208692</v>
      </c>
      <c r="BF22" s="152">
        <f t="shared" si="29"/>
        <v>120.7057749993029</v>
      </c>
      <c r="BG22" s="152">
        <f t="shared" si="29"/>
        <v>120.57134602282881</v>
      </c>
      <c r="BH22" s="152">
        <f t="shared" si="29"/>
        <v>120.05147740077356</v>
      </c>
      <c r="BI22" s="152">
        <f t="shared" si="29"/>
        <v>120.55860359949749</v>
      </c>
      <c r="BJ22" s="152">
        <f t="shared" si="29"/>
        <v>125.81019037785208</v>
      </c>
      <c r="BK22" s="152">
        <f t="shared" si="29"/>
        <v>125.85279263321095</v>
      </c>
      <c r="BL22" s="152">
        <f t="shared" si="29"/>
        <v>126.17423568032892</v>
      </c>
      <c r="BM22" s="152">
        <f t="shared" si="29"/>
        <v>126.21061595703175</v>
      </c>
      <c r="BN22" s="152">
        <f t="shared" si="29"/>
        <v>126.66834270725646</v>
      </c>
      <c r="BO22" s="152">
        <f t="shared" si="29"/>
        <v>127.14678512831122</v>
      </c>
      <c r="BP22" s="152">
        <f t="shared" si="29"/>
        <v>127.8339145419163</v>
      </c>
      <c r="BQ22" s="152">
        <f t="shared" si="29"/>
        <v>128.23159654910222</v>
      </c>
      <c r="BR22" s="152">
        <f t="shared" si="29"/>
        <v>128.26183893942496</v>
      </c>
      <c r="BS22" s="152">
        <f t="shared" si="29"/>
        <v>128.50626249011665</v>
      </c>
      <c r="BT22" s="152">
        <f t="shared" si="29"/>
        <v>128.74706269252536</v>
      </c>
      <c r="BU22" s="152">
        <f t="shared" si="29"/>
        <v>129.4750837125589</v>
      </c>
      <c r="BV22" s="152">
        <f t="shared" si="29"/>
        <v>135.70336607008116</v>
      </c>
      <c r="BW22" s="152">
        <f t="shared" si="29"/>
        <v>136.35147853664486</v>
      </c>
      <c r="BX22" s="152">
        <f t="shared" si="29"/>
        <v>137.14488393047048</v>
      </c>
      <c r="BY22" s="152">
        <f t="shared" si="29"/>
        <v>137.98109770528183</v>
      </c>
      <c r="BZ22" s="152">
        <f t="shared" si="29"/>
        <v>138.74172162745654</v>
      </c>
      <c r="CA22" s="152">
        <f t="shared" si="30"/>
        <v>139.7518836011904</v>
      </c>
      <c r="CB22" s="152">
        <f t="shared" si="30"/>
        <v>140.71286613276567</v>
      </c>
      <c r="CC22" s="152">
        <f t="shared" si="30"/>
        <v>141.76446705751349</v>
      </c>
      <c r="CD22" s="152">
        <f t="shared" si="30"/>
        <v>142.16307863216977</v>
      </c>
      <c r="CE22" s="152">
        <f t="shared" si="30"/>
        <v>142.38290734596669</v>
      </c>
      <c r="CF22" s="152">
        <f t="shared" si="30"/>
        <v>141.96780269085843</v>
      </c>
      <c r="CG22" s="152">
        <f t="shared" si="30"/>
        <v>142.42002360877478</v>
      </c>
      <c r="CH22" s="152">
        <f t="shared" si="30"/>
        <v>147.81647729082917</v>
      </c>
      <c r="CI22" s="152">
        <f t="shared" si="30"/>
        <v>147.96737423336327</v>
      </c>
      <c r="CJ22" s="152">
        <f t="shared" si="30"/>
        <v>148.29324743995423</v>
      </c>
      <c r="CK22" s="152">
        <f t="shared" si="30"/>
        <v>147.38509807789475</v>
      </c>
      <c r="CL22" s="152">
        <f t="shared" si="30"/>
        <v>147.04034861340546</v>
      </c>
      <c r="CM22" s="152">
        <f t="shared" si="30"/>
        <v>147.14784347298817</v>
      </c>
      <c r="CN22" s="152">
        <f t="shared" si="30"/>
        <v>147.32920715213967</v>
      </c>
      <c r="CO22" s="152">
        <f t="shared" si="30"/>
        <v>148.14727311061665</v>
      </c>
      <c r="CP22" s="152">
        <f t="shared" si="30"/>
        <v>147.92481198760183</v>
      </c>
      <c r="CQ22" s="152">
        <f t="shared" si="30"/>
        <v>147.32362907089598</v>
      </c>
      <c r="CR22" s="152">
        <f t="shared" si="30"/>
        <v>146.14782354147769</v>
      </c>
      <c r="CS22" s="152">
        <f t="shared" si="30"/>
        <v>146.42938405426634</v>
      </c>
      <c r="CT22" s="152">
        <f t="shared" si="30"/>
        <v>151.84192365938179</v>
      </c>
      <c r="CU22" s="152">
        <f t="shared" si="30"/>
        <v>152.07629180121165</v>
      </c>
      <c r="CV22" s="152">
        <f t="shared" si="30"/>
        <v>152.32685945935876</v>
      </c>
      <c r="CW22" s="152">
        <f t="shared" si="30"/>
        <v>151.37353346381784</v>
      </c>
      <c r="CX22" s="152">
        <f t="shared" si="30"/>
        <v>150.76327851910588</v>
      </c>
      <c r="DE22">
        <v>100</v>
      </c>
      <c r="DF22">
        <v>100</v>
      </c>
      <c r="DG22">
        <v>100</v>
      </c>
      <c r="DH22">
        <v>100</v>
      </c>
      <c r="DI22">
        <f>+DE22*(1+DI16)</f>
        <v>105.84986709995479</v>
      </c>
      <c r="DJ22">
        <f t="shared" si="31"/>
        <v>106.33296198917522</v>
      </c>
      <c r="DK22">
        <f t="shared" si="31"/>
        <v>106.1682585289572</v>
      </c>
      <c r="DL22">
        <f t="shared" si="31"/>
        <v>106.1663022149304</v>
      </c>
      <c r="DM22">
        <f t="shared" si="31"/>
        <v>110.75844813838097</v>
      </c>
      <c r="DN22">
        <f t="shared" si="31"/>
        <v>110.45831905848927</v>
      </c>
      <c r="DO22">
        <f t="shared" si="31"/>
        <v>110.36608946735464</v>
      </c>
      <c r="DP22">
        <f t="shared" si="31"/>
        <v>110.32737470752288</v>
      </c>
      <c r="DQ22">
        <f t="shared" si="31"/>
        <v>114.86248528584262</v>
      </c>
      <c r="DR22">
        <f t="shared" si="31"/>
        <v>114.79167321820532</v>
      </c>
      <c r="DS22">
        <f t="shared" si="31"/>
        <v>114.52171812591232</v>
      </c>
      <c r="DT22">
        <f t="shared" si="31"/>
        <v>114.2511106259538</v>
      </c>
      <c r="DU22">
        <f t="shared" si="31"/>
        <v>119.26527281269098</v>
      </c>
      <c r="DV22">
        <f t="shared" si="31"/>
        <v>120.17034607860438</v>
      </c>
      <c r="DW22">
        <f t="shared" si="31"/>
        <v>120.7057749993029</v>
      </c>
      <c r="DX22">
        <f t="shared" si="31"/>
        <v>120.55860359949749</v>
      </c>
      <c r="DY22">
        <f t="shared" si="31"/>
        <v>126.17423568032892</v>
      </c>
      <c r="DZ22">
        <f t="shared" si="31"/>
        <v>127.14678512831122</v>
      </c>
      <c r="EA22">
        <f t="shared" si="31"/>
        <v>128.26183893942496</v>
      </c>
      <c r="EB22">
        <f t="shared" si="31"/>
        <v>129.4750837125589</v>
      </c>
      <c r="EC22">
        <f t="shared" si="31"/>
        <v>137.14488393047048</v>
      </c>
      <c r="ED22">
        <f t="shared" si="31"/>
        <v>139.7518836011904</v>
      </c>
      <c r="EE22">
        <f t="shared" si="31"/>
        <v>142.16307863216977</v>
      </c>
      <c r="EF22">
        <f t="shared" si="31"/>
        <v>143.82829637045862</v>
      </c>
      <c r="EG22">
        <f t="shared" si="31"/>
        <v>151.02851733080536</v>
      </c>
      <c r="EH22">
        <f t="shared" si="31"/>
        <v>151.30139590766268</v>
      </c>
      <c r="EI22">
        <f t="shared" si="31"/>
        <v>150.97255604096074</v>
      </c>
      <c r="EJ22">
        <f t="shared" si="31"/>
        <v>150.85800498687107</v>
      </c>
      <c r="EK22">
        <f t="shared" si="31"/>
        <v>156.88682689075335</v>
      </c>
      <c r="EL22">
        <f t="shared" si="31"/>
        <v>0</v>
      </c>
      <c r="EM22">
        <f t="shared" si="31"/>
        <v>0</v>
      </c>
      <c r="EN22">
        <f t="shared" si="31"/>
        <v>0</v>
      </c>
    </row>
    <row r="23" spans="1:144">
      <c r="A23" s="94" t="s">
        <v>442</v>
      </c>
      <c r="B23" s="152">
        <v>100</v>
      </c>
      <c r="C23" s="152">
        <v>100</v>
      </c>
      <c r="D23" s="152">
        <v>100</v>
      </c>
      <c r="E23" s="152">
        <v>100</v>
      </c>
      <c r="F23" s="152">
        <v>100</v>
      </c>
      <c r="G23" s="152">
        <v>100</v>
      </c>
      <c r="H23" s="152">
        <v>100</v>
      </c>
      <c r="I23" s="152">
        <v>100</v>
      </c>
      <c r="J23" s="152">
        <v>100</v>
      </c>
      <c r="K23" s="152">
        <v>100</v>
      </c>
      <c r="L23" s="152">
        <v>100</v>
      </c>
      <c r="M23" s="152">
        <v>100</v>
      </c>
      <c r="N23" s="152">
        <f>+B23*(1+N17)</f>
        <v>105.2716623219392</v>
      </c>
      <c r="O23" s="152">
        <f t="shared" si="29"/>
        <v>106.03320666468663</v>
      </c>
      <c r="P23" s="152">
        <f t="shared" si="29"/>
        <v>106.49134809122323</v>
      </c>
      <c r="Q23" s="152">
        <f t="shared" si="29"/>
        <v>106.77374666065272</v>
      </c>
      <c r="R23" s="152">
        <f t="shared" si="29"/>
        <v>106.78290180157339</v>
      </c>
      <c r="S23" s="152">
        <f t="shared" si="29"/>
        <v>106.90383477652074</v>
      </c>
      <c r="T23" s="152">
        <f t="shared" si="29"/>
        <v>107.25074222598832</v>
      </c>
      <c r="U23" s="152">
        <f t="shared" si="29"/>
        <v>107.57222262126103</v>
      </c>
      <c r="V23" s="152">
        <f t="shared" si="29"/>
        <v>107.04681392551365</v>
      </c>
      <c r="W23" s="152">
        <f t="shared" si="29"/>
        <v>106.73270144802616</v>
      </c>
      <c r="X23" s="152">
        <f t="shared" si="29"/>
        <v>106.84016948920592</v>
      </c>
      <c r="Y23" s="152">
        <f t="shared" si="29"/>
        <v>106.81881471920998</v>
      </c>
      <c r="Z23" s="152">
        <f t="shared" si="29"/>
        <v>112.11171042472034</v>
      </c>
      <c r="AA23" s="152">
        <f t="shared" si="29"/>
        <v>112.35815618688984</v>
      </c>
      <c r="AB23" s="152">
        <f t="shared" si="29"/>
        <v>112.18730665913874</v>
      </c>
      <c r="AC23" s="152">
        <f t="shared" si="29"/>
        <v>112.0030171349771</v>
      </c>
      <c r="AD23" s="152">
        <f t="shared" si="29"/>
        <v>111.83500277004029</v>
      </c>
      <c r="AE23" s="152">
        <f t="shared" si="29"/>
        <v>111.70616429255364</v>
      </c>
      <c r="AF23" s="152">
        <f t="shared" si="29"/>
        <v>112.09139533557304</v>
      </c>
      <c r="AG23" s="152">
        <f t="shared" si="29"/>
        <v>112.47046771720196</v>
      </c>
      <c r="AH23" s="152">
        <f t="shared" si="29"/>
        <v>112.18291820384945</v>
      </c>
      <c r="AI23" s="152">
        <f t="shared" si="29"/>
        <v>111.90360603843028</v>
      </c>
      <c r="AJ23" s="152">
        <f t="shared" si="29"/>
        <v>111.95895643217005</v>
      </c>
      <c r="AK23" s="152">
        <f t="shared" si="29"/>
        <v>111.87142951226082</v>
      </c>
      <c r="AL23" s="152">
        <f t="shared" si="29"/>
        <v>116.92774781636501</v>
      </c>
      <c r="AM23" s="152">
        <f t="shared" si="29"/>
        <v>117.23688154801965</v>
      </c>
      <c r="AN23" s="152">
        <f t="shared" si="29"/>
        <v>117.29761542766722</v>
      </c>
      <c r="AO23" s="152">
        <f t="shared" si="29"/>
        <v>117.32515521313702</v>
      </c>
      <c r="AP23" s="152">
        <f t="shared" si="29"/>
        <v>117.2935921235031</v>
      </c>
      <c r="AQ23" s="152">
        <f t="shared" si="29"/>
        <v>117.29883092507561</v>
      </c>
      <c r="AR23" s="152">
        <f t="shared" si="29"/>
        <v>117.54791460564782</v>
      </c>
      <c r="AS23" s="152">
        <f t="shared" si="29"/>
        <v>117.67588688200708</v>
      </c>
      <c r="AT23" s="152">
        <f t="shared" si="29"/>
        <v>117.3534948237738</v>
      </c>
      <c r="AU23" s="152">
        <f t="shared" si="29"/>
        <v>117.13158430877161</v>
      </c>
      <c r="AV23" s="152">
        <f t="shared" si="29"/>
        <v>117.06113762146011</v>
      </c>
      <c r="AW23" s="152">
        <f t="shared" si="29"/>
        <v>116.84447767219129</v>
      </c>
      <c r="AX23" s="152">
        <f t="shared" si="29"/>
        <v>122.88662506669885</v>
      </c>
      <c r="AY23" s="152">
        <f t="shared" si="29"/>
        <v>123.08698909851297</v>
      </c>
      <c r="AZ23" s="152">
        <f t="shared" si="29"/>
        <v>123.22611668152062</v>
      </c>
      <c r="BA23" s="152">
        <f t="shared" si="29"/>
        <v>124.11184908033115</v>
      </c>
      <c r="BB23" s="152">
        <f t="shared" si="29"/>
        <v>125.00716195498889</v>
      </c>
      <c r="BC23" s="152">
        <f t="shared" si="29"/>
        <v>125.02602486875378</v>
      </c>
      <c r="BD23" s="152">
        <f t="shared" si="29"/>
        <v>125.64798532772528</v>
      </c>
      <c r="BE23" s="152">
        <f t="shared" si="29"/>
        <v>125.95731919645981</v>
      </c>
      <c r="BF23" s="152">
        <f t="shared" si="29"/>
        <v>125.55375799562526</v>
      </c>
      <c r="BG23" s="152">
        <f t="shared" si="29"/>
        <v>125.24422358085478</v>
      </c>
      <c r="BH23" s="152">
        <f t="shared" si="29"/>
        <v>125.01315489539763</v>
      </c>
      <c r="BI23" s="152">
        <f t="shared" si="29"/>
        <v>124.79511383701492</v>
      </c>
      <c r="BJ23" s="152">
        <f t="shared" si="29"/>
        <v>130.70197422862873</v>
      </c>
      <c r="BK23" s="152">
        <f t="shared" si="29"/>
        <v>130.89444703741074</v>
      </c>
      <c r="BL23" s="152">
        <f t="shared" si="29"/>
        <v>131.21726942861687</v>
      </c>
      <c r="BM23" s="152">
        <f t="shared" si="29"/>
        <v>131.40381759532528</v>
      </c>
      <c r="BN23" s="152">
        <f t="shared" si="29"/>
        <v>131.8753435583746</v>
      </c>
      <c r="BO23" s="152">
        <f t="shared" si="29"/>
        <v>132.40997990270128</v>
      </c>
      <c r="BP23" s="152">
        <f t="shared" si="29"/>
        <v>133.35978025361806</v>
      </c>
      <c r="BQ23" s="152">
        <f t="shared" si="29"/>
        <v>134.1570057116636</v>
      </c>
      <c r="BR23" s="152">
        <f t="shared" si="29"/>
        <v>134.174516852837</v>
      </c>
      <c r="BS23" s="152">
        <f t="shared" si="29"/>
        <v>134.2117569334645</v>
      </c>
      <c r="BT23" s="152">
        <f t="shared" si="29"/>
        <v>134.50010787322128</v>
      </c>
      <c r="BU23" s="152">
        <f t="shared" si="29"/>
        <v>134.91338279087194</v>
      </c>
      <c r="BV23" s="152">
        <f t="shared" si="29"/>
        <v>142.15140192985365</v>
      </c>
      <c r="BW23" s="152">
        <f t="shared" si="29"/>
        <v>143.20032377874381</v>
      </c>
      <c r="BX23" s="152">
        <f t="shared" si="29"/>
        <v>144.44105264194201</v>
      </c>
      <c r="BY23" s="152">
        <f t="shared" si="29"/>
        <v>145.70492823665185</v>
      </c>
      <c r="BZ23" s="152">
        <f t="shared" si="29"/>
        <v>146.73585835538722</v>
      </c>
      <c r="CA23" s="152">
        <f t="shared" si="30"/>
        <v>148.08590444079209</v>
      </c>
      <c r="CB23" s="152">
        <f t="shared" si="30"/>
        <v>149.48199664044895</v>
      </c>
      <c r="CC23" s="152">
        <f t="shared" si="30"/>
        <v>151.51127557293484</v>
      </c>
      <c r="CD23" s="152">
        <f t="shared" si="30"/>
        <v>152.13200437919411</v>
      </c>
      <c r="CE23" s="152">
        <f t="shared" si="30"/>
        <v>152.14058430283694</v>
      </c>
      <c r="CF23" s="152">
        <f t="shared" si="30"/>
        <v>152.16228145959198</v>
      </c>
      <c r="CG23" s="152">
        <f t="shared" si="30"/>
        <v>152.01848430101157</v>
      </c>
      <c r="CH23" s="152">
        <f t="shared" si="30"/>
        <v>158.63457157685463</v>
      </c>
      <c r="CI23" s="152">
        <f t="shared" si="30"/>
        <v>158.89918016721575</v>
      </c>
      <c r="CJ23" s="152">
        <f t="shared" si="30"/>
        <v>159.27723779078849</v>
      </c>
      <c r="CK23" s="152">
        <f t="shared" si="30"/>
        <v>157.87961625524903</v>
      </c>
      <c r="CL23" s="152">
        <f t="shared" si="30"/>
        <v>157.57126516166656</v>
      </c>
      <c r="CM23" s="152">
        <f t="shared" si="30"/>
        <v>157.98361022387419</v>
      </c>
      <c r="CN23" s="152">
        <f t="shared" si="30"/>
        <v>158.43881673578727</v>
      </c>
      <c r="CO23" s="152">
        <f t="shared" si="30"/>
        <v>159.84336079903031</v>
      </c>
      <c r="CP23" s="152">
        <f t="shared" si="30"/>
        <v>159.5183804268072</v>
      </c>
      <c r="CQ23" s="152">
        <f t="shared" si="30"/>
        <v>158.2781788472619</v>
      </c>
      <c r="CR23" s="152">
        <f t="shared" si="30"/>
        <v>157.98915287974026</v>
      </c>
      <c r="CS23" s="152">
        <f t="shared" si="30"/>
        <v>157.62375454613777</v>
      </c>
      <c r="CT23" s="152">
        <f t="shared" si="30"/>
        <v>164.54315546549682</v>
      </c>
      <c r="CU23" s="152">
        <f t="shared" si="30"/>
        <v>164.62215132706245</v>
      </c>
      <c r="CV23" s="152">
        <f t="shared" si="30"/>
        <v>164.81712253624849</v>
      </c>
      <c r="CW23" s="152">
        <f t="shared" si="30"/>
        <v>163.27202433248289</v>
      </c>
      <c r="CX23" s="152">
        <f t="shared" si="30"/>
        <v>163.05754824118875</v>
      </c>
      <c r="DE23">
        <v>100</v>
      </c>
      <c r="DF23">
        <v>100</v>
      </c>
      <c r="DG23">
        <v>100</v>
      </c>
      <c r="DH23">
        <v>100</v>
      </c>
      <c r="DI23">
        <f>+DE23*(1+DI17)</f>
        <v>106.49134809122323</v>
      </c>
      <c r="DJ23">
        <f t="shared" si="31"/>
        <v>106.90383477652074</v>
      </c>
      <c r="DK23">
        <f t="shared" si="31"/>
        <v>107.04681392551365</v>
      </c>
      <c r="DL23">
        <f t="shared" si="31"/>
        <v>106.81881471920998</v>
      </c>
      <c r="DM23">
        <f t="shared" si="31"/>
        <v>112.18730665913874</v>
      </c>
      <c r="DN23">
        <f t="shared" si="31"/>
        <v>111.70616429255364</v>
      </c>
      <c r="DO23">
        <f t="shared" si="31"/>
        <v>112.18291820384945</v>
      </c>
      <c r="DP23">
        <f t="shared" si="31"/>
        <v>111.87142951226082</v>
      </c>
      <c r="DQ23">
        <f t="shared" si="31"/>
        <v>117.29761542766722</v>
      </c>
      <c r="DR23">
        <f t="shared" si="31"/>
        <v>117.29883092507561</v>
      </c>
      <c r="DS23">
        <f t="shared" si="31"/>
        <v>117.3534948237738</v>
      </c>
      <c r="DT23">
        <f t="shared" si="31"/>
        <v>116.84447767219129</v>
      </c>
      <c r="DU23">
        <f t="shared" si="31"/>
        <v>123.22611668152062</v>
      </c>
      <c r="DV23">
        <f t="shared" si="31"/>
        <v>125.02602486875378</v>
      </c>
      <c r="DW23">
        <f t="shared" si="31"/>
        <v>125.55375799562526</v>
      </c>
      <c r="DX23">
        <f t="shared" si="31"/>
        <v>124.79511383701492</v>
      </c>
      <c r="DY23">
        <f t="shared" si="31"/>
        <v>131.21726942861687</v>
      </c>
      <c r="DZ23">
        <f t="shared" si="31"/>
        <v>132.40997990270128</v>
      </c>
      <c r="EA23">
        <f t="shared" si="31"/>
        <v>134.174516852837</v>
      </c>
      <c r="EB23">
        <f t="shared" si="31"/>
        <v>134.91338279087194</v>
      </c>
      <c r="EC23">
        <f t="shared" si="31"/>
        <v>144.44105264194201</v>
      </c>
      <c r="ED23">
        <f t="shared" si="31"/>
        <v>148.08590444079209</v>
      </c>
      <c r="EE23">
        <f t="shared" si="31"/>
        <v>152.13200437919411</v>
      </c>
      <c r="EF23">
        <f t="shared" si="31"/>
        <v>153.98566874417202</v>
      </c>
      <c r="EG23">
        <f t="shared" si="31"/>
        <v>163.13992447841557</v>
      </c>
      <c r="EH23">
        <f t="shared" si="31"/>
        <v>163.6247310729222</v>
      </c>
      <c r="EI23">
        <f t="shared" si="31"/>
        <v>163.6517777178446</v>
      </c>
      <c r="EJ23">
        <f t="shared" si="31"/>
        <v>163.61022390803529</v>
      </c>
      <c r="EK23">
        <f t="shared" si="31"/>
        <v>171.31378868044456</v>
      </c>
      <c r="EL23">
        <f t="shared" si="31"/>
        <v>0</v>
      </c>
      <c r="EM23">
        <f t="shared" si="31"/>
        <v>0</v>
      </c>
      <c r="EN23">
        <f t="shared" si="31"/>
        <v>0</v>
      </c>
    </row>
    <row r="24" spans="1:144">
      <c r="A24" s="94" t="s">
        <v>443</v>
      </c>
      <c r="B24" s="152">
        <v>100</v>
      </c>
      <c r="C24" s="152">
        <v>100</v>
      </c>
      <c r="D24" s="152">
        <v>100</v>
      </c>
      <c r="E24" s="152">
        <v>100</v>
      </c>
      <c r="F24" s="152">
        <v>100</v>
      </c>
      <c r="G24" s="152">
        <v>100</v>
      </c>
      <c r="H24" s="152">
        <v>100</v>
      </c>
      <c r="I24" s="152">
        <v>100</v>
      </c>
      <c r="J24" s="152">
        <v>100</v>
      </c>
      <c r="K24" s="152">
        <v>100</v>
      </c>
      <c r="L24" s="152">
        <v>100</v>
      </c>
      <c r="M24" s="152">
        <v>100</v>
      </c>
      <c r="N24" s="152">
        <f>+B24*(1+N18)</f>
        <v>104.30965114072515</v>
      </c>
      <c r="O24" s="152">
        <f t="shared" si="29"/>
        <v>104.86255844189489</v>
      </c>
      <c r="P24" s="152">
        <f t="shared" si="29"/>
        <v>105.31715356699327</v>
      </c>
      <c r="Q24" s="152">
        <f t="shared" si="29"/>
        <v>105.44792857882656</v>
      </c>
      <c r="R24" s="152">
        <f t="shared" si="29"/>
        <v>105.87158367372891</v>
      </c>
      <c r="S24" s="152">
        <f t="shared" si="29"/>
        <v>105.85686757629482</v>
      </c>
      <c r="T24" s="152">
        <f t="shared" si="29"/>
        <v>105.72822274348684</v>
      </c>
      <c r="U24" s="152">
        <f t="shared" si="29"/>
        <v>105.62936715710312</v>
      </c>
      <c r="V24" s="152">
        <f t="shared" si="29"/>
        <v>105.43904781159566</v>
      </c>
      <c r="W24" s="152">
        <f t="shared" si="29"/>
        <v>105.3326684312384</v>
      </c>
      <c r="X24" s="152">
        <f t="shared" si="29"/>
        <v>105.64892951596792</v>
      </c>
      <c r="Y24" s="152">
        <f t="shared" si="29"/>
        <v>105.61999978905217</v>
      </c>
      <c r="Z24" s="152">
        <f t="shared" si="29"/>
        <v>109.70398247147833</v>
      </c>
      <c r="AA24" s="152">
        <f t="shared" si="29"/>
        <v>109.60875419735794</v>
      </c>
      <c r="AB24" s="152">
        <f t="shared" si="29"/>
        <v>109.57186228305727</v>
      </c>
      <c r="AC24" s="152">
        <f t="shared" si="29"/>
        <v>109.5571396337285</v>
      </c>
      <c r="AD24" s="152">
        <f t="shared" si="29"/>
        <v>109.60080225663533</v>
      </c>
      <c r="AE24" s="152">
        <f t="shared" si="29"/>
        <v>109.41764562427839</v>
      </c>
      <c r="AF24" s="152">
        <f t="shared" si="29"/>
        <v>109.47986355090883</v>
      </c>
      <c r="AG24" s="152">
        <f t="shared" si="29"/>
        <v>109.16966797276432</v>
      </c>
      <c r="AH24" s="152">
        <f t="shared" si="29"/>
        <v>108.85436165852234</v>
      </c>
      <c r="AI24" s="152">
        <f t="shared" si="29"/>
        <v>108.74712751022702</v>
      </c>
      <c r="AJ24" s="152">
        <f t="shared" si="29"/>
        <v>108.95639388848062</v>
      </c>
      <c r="AK24" s="152">
        <f t="shared" si="29"/>
        <v>108.98245883097425</v>
      </c>
      <c r="AL24" s="152">
        <f t="shared" si="29"/>
        <v>113.03023084117275</v>
      </c>
      <c r="AM24" s="152">
        <f t="shared" si="29"/>
        <v>112.78790030653934</v>
      </c>
      <c r="AN24" s="152">
        <f t="shared" si="29"/>
        <v>112.72805600239052</v>
      </c>
      <c r="AO24" s="152">
        <f t="shared" si="29"/>
        <v>112.58977735235341</v>
      </c>
      <c r="AP24" s="152">
        <f t="shared" si="29"/>
        <v>112.64438904452788</v>
      </c>
      <c r="AQ24" s="152">
        <f t="shared" si="29"/>
        <v>112.5234775746798</v>
      </c>
      <c r="AR24" s="152">
        <f t="shared" si="29"/>
        <v>112.5264437441402</v>
      </c>
      <c r="AS24" s="152">
        <f t="shared" si="29"/>
        <v>112.28353561396629</v>
      </c>
      <c r="AT24" s="152">
        <f t="shared" si="29"/>
        <v>111.99001295523904</v>
      </c>
      <c r="AU24" s="152">
        <f t="shared" si="29"/>
        <v>111.84780119524403</v>
      </c>
      <c r="AV24" s="152">
        <f t="shared" si="29"/>
        <v>111.85834885219224</v>
      </c>
      <c r="AW24" s="152">
        <f t="shared" si="29"/>
        <v>111.83781377849506</v>
      </c>
      <c r="AX24" s="152">
        <f t="shared" si="29"/>
        <v>116.06243384003315</v>
      </c>
      <c r="AY24" s="152">
        <f t="shared" si="29"/>
        <v>115.70266719030398</v>
      </c>
      <c r="AZ24" s="152">
        <f t="shared" si="29"/>
        <v>115.59090183843725</v>
      </c>
      <c r="BA24" s="152">
        <f t="shared" si="29"/>
        <v>115.226435318908</v>
      </c>
      <c r="BB24" s="152">
        <f t="shared" si="29"/>
        <v>114.75739726881774</v>
      </c>
      <c r="BC24" s="152">
        <f t="shared" si="29"/>
        <v>115.51504911757419</v>
      </c>
      <c r="BD24" s="152">
        <f t="shared" si="29"/>
        <v>116.33027326896263</v>
      </c>
      <c r="BE24" s="152">
        <f t="shared" si="29"/>
        <v>116.30254417821686</v>
      </c>
      <c r="BF24" s="152">
        <f t="shared" si="29"/>
        <v>116.14155202083734</v>
      </c>
      <c r="BG24" s="152">
        <f t="shared" si="29"/>
        <v>116.15392060880902</v>
      </c>
      <c r="BH24" s="152">
        <f t="shared" si="29"/>
        <v>115.28132823379043</v>
      </c>
      <c r="BI24" s="152">
        <f t="shared" si="29"/>
        <v>116.47265806468425</v>
      </c>
      <c r="BJ24" s="152">
        <f t="shared" si="29"/>
        <v>121.13698128429152</v>
      </c>
      <c r="BK24" s="152">
        <f t="shared" si="29"/>
        <v>121.09470026625715</v>
      </c>
      <c r="BL24" s="152">
        <f t="shared" si="29"/>
        <v>121.41893771733589</v>
      </c>
      <c r="BM24" s="152">
        <f t="shared" si="29"/>
        <v>121.31583505318086</v>
      </c>
      <c r="BN24" s="152">
        <f t="shared" si="29"/>
        <v>121.6978470751136</v>
      </c>
      <c r="BO24" s="152">
        <f t="shared" si="29"/>
        <v>122.09280251366329</v>
      </c>
      <c r="BP24" s="152">
        <f t="shared" si="29"/>
        <v>122.49847064620118</v>
      </c>
      <c r="BQ24" s="152">
        <f t="shared" si="29"/>
        <v>122.59814633040216</v>
      </c>
      <c r="BR24" s="152">
        <f t="shared" si="29"/>
        <v>122.63740068148242</v>
      </c>
      <c r="BS24" s="152">
        <f t="shared" si="29"/>
        <v>123.0590304232484</v>
      </c>
      <c r="BT24" s="152">
        <f t="shared" si="29"/>
        <v>123.18962244521414</v>
      </c>
      <c r="BU24" s="152">
        <f t="shared" si="29"/>
        <v>124.17512012629537</v>
      </c>
      <c r="BV24" s="152">
        <f t="shared" si="29"/>
        <v>129.46525737597113</v>
      </c>
      <c r="BW24" s="152">
        <f t="shared" si="29"/>
        <v>129.78466310745188</v>
      </c>
      <c r="BX24" s="152">
        <f t="shared" si="29"/>
        <v>130.12884168204204</v>
      </c>
      <c r="BY24" s="152">
        <f t="shared" si="29"/>
        <v>130.54825863402255</v>
      </c>
      <c r="BZ24" s="152">
        <f>+BN24*(1+BZ18)</f>
        <v>130.95903380988835</v>
      </c>
      <c r="CA24" s="152">
        <f t="shared" si="30"/>
        <v>131.59094395177661</v>
      </c>
      <c r="CB24" s="152">
        <f t="shared" si="30"/>
        <v>132.09123550651708</v>
      </c>
      <c r="CC24" s="152">
        <f t="shared" si="30"/>
        <v>132.28534781541694</v>
      </c>
      <c r="CD24" s="152">
        <f t="shared" si="30"/>
        <v>132.4540322434888</v>
      </c>
      <c r="CE24" s="152">
        <f t="shared" si="30"/>
        <v>132.82964344425315</v>
      </c>
      <c r="CF24" s="152">
        <f t="shared" si="30"/>
        <v>131.90706637629808</v>
      </c>
      <c r="CG24" s="152">
        <f t="shared" si="30"/>
        <v>132.85481677326436</v>
      </c>
      <c r="CH24" s="152">
        <f t="shared" si="30"/>
        <v>137.11662111321792</v>
      </c>
      <c r="CI24" s="152">
        <f t="shared" si="30"/>
        <v>137.24024838122199</v>
      </c>
      <c r="CJ24" s="152">
        <f t="shared" si="30"/>
        <v>137.51800799283009</v>
      </c>
      <c r="CK24" s="152">
        <f t="shared" si="30"/>
        <v>137.11751584160254</v>
      </c>
      <c r="CL24" s="152">
        <f t="shared" si="30"/>
        <v>136.65157787125028</v>
      </c>
      <c r="CM24" s="152">
        <f t="shared" si="30"/>
        <v>136.41510723792311</v>
      </c>
      <c r="CN24" s="152">
        <f t="shared" si="30"/>
        <v>136.30422619541289</v>
      </c>
      <c r="CO24" s="152">
        <f t="shared" si="30"/>
        <v>136.68771154919051</v>
      </c>
      <c r="CP24" s="152">
        <f t="shared" si="30"/>
        <v>136.56626176982982</v>
      </c>
      <c r="CQ24" s="152">
        <f t="shared" si="30"/>
        <v>136.5467007603464</v>
      </c>
      <c r="CR24" s="152">
        <f t="shared" si="30"/>
        <v>134.40004420162771</v>
      </c>
      <c r="CS24" s="152">
        <f t="shared" si="30"/>
        <v>135.21218033174088</v>
      </c>
      <c r="CT24" s="152">
        <f t="shared" si="30"/>
        <v>139.21062610802389</v>
      </c>
      <c r="CU24" s="152">
        <f t="shared" si="30"/>
        <v>139.69419429049663</v>
      </c>
      <c r="CV24" s="152">
        <f t="shared" si="30"/>
        <v>140.00473902345306</v>
      </c>
      <c r="CW24" s="152">
        <f t="shared" si="30"/>
        <v>139.65651257935681</v>
      </c>
      <c r="CX24" s="152">
        <f t="shared" si="30"/>
        <v>138.55014397200489</v>
      </c>
      <c r="DE24">
        <v>100</v>
      </c>
      <c r="DF24">
        <v>100</v>
      </c>
      <c r="DG24">
        <v>100</v>
      </c>
      <c r="DH24">
        <v>100</v>
      </c>
      <c r="DI24">
        <f>+DE24*(1+DI18)</f>
        <v>105.31715356699327</v>
      </c>
      <c r="DJ24">
        <f t="shared" si="31"/>
        <v>105.85686757629482</v>
      </c>
      <c r="DK24">
        <f t="shared" si="31"/>
        <v>105.43904781159566</v>
      </c>
      <c r="DL24">
        <f t="shared" si="31"/>
        <v>105.61999978905217</v>
      </c>
      <c r="DM24">
        <f t="shared" si="31"/>
        <v>109.57186228305727</v>
      </c>
      <c r="DN24">
        <f t="shared" si="31"/>
        <v>109.41764562427839</v>
      </c>
      <c r="DO24">
        <f t="shared" si="31"/>
        <v>108.85436165852234</v>
      </c>
      <c r="DP24">
        <f t="shared" si="31"/>
        <v>108.98245883097425</v>
      </c>
      <c r="DQ24">
        <f t="shared" si="31"/>
        <v>112.72805600239052</v>
      </c>
      <c r="DR24">
        <f t="shared" si="31"/>
        <v>112.5234775746798</v>
      </c>
      <c r="DS24">
        <f t="shared" si="31"/>
        <v>111.99001295523904</v>
      </c>
      <c r="DT24">
        <f t="shared" si="31"/>
        <v>111.83781377849506</v>
      </c>
      <c r="DU24">
        <f t="shared" si="31"/>
        <v>115.59090183843725</v>
      </c>
      <c r="DV24">
        <f t="shared" si="31"/>
        <v>115.51504911757419</v>
      </c>
      <c r="DW24">
        <f t="shared" si="31"/>
        <v>116.14155202083734</v>
      </c>
      <c r="DX24">
        <f t="shared" si="31"/>
        <v>116.47265806468425</v>
      </c>
      <c r="DY24">
        <f t="shared" si="31"/>
        <v>121.41893771733589</v>
      </c>
      <c r="DZ24">
        <f t="shared" si="31"/>
        <v>122.09280251366329</v>
      </c>
      <c r="EA24">
        <f t="shared" si="31"/>
        <v>122.63740068148242</v>
      </c>
      <c r="EB24">
        <f t="shared" si="31"/>
        <v>124.17512012629537</v>
      </c>
      <c r="EC24">
        <f t="shared" si="31"/>
        <v>130.12884168204204</v>
      </c>
      <c r="ED24">
        <f t="shared" si="31"/>
        <v>131.59094395177661</v>
      </c>
      <c r="EE24">
        <f t="shared" si="31"/>
        <v>132.4540322434888</v>
      </c>
      <c r="EF24">
        <f t="shared" si="31"/>
        <v>133.71634585113256</v>
      </c>
      <c r="EG24">
        <f t="shared" si="31"/>
        <v>139.15229696528263</v>
      </c>
      <c r="EH24">
        <f t="shared" si="31"/>
        <v>139.09180670599852</v>
      </c>
      <c r="EI24">
        <f t="shared" si="31"/>
        <v>138.5328021443836</v>
      </c>
      <c r="EJ24">
        <f t="shared" si="31"/>
        <v>138.0982436360062</v>
      </c>
      <c r="EK24">
        <f t="shared" si="31"/>
        <v>142.67098781589084</v>
      </c>
      <c r="EL24">
        <f t="shared" si="31"/>
        <v>0</v>
      </c>
      <c r="EM24">
        <f t="shared" si="31"/>
        <v>0</v>
      </c>
      <c r="EN24">
        <f t="shared" si="31"/>
        <v>0</v>
      </c>
    </row>
    <row r="27" spans="1:144">
      <c r="A27" s="94" t="s">
        <v>447</v>
      </c>
      <c r="B27">
        <v>100</v>
      </c>
      <c r="C27">
        <v>100</v>
      </c>
      <c r="D27">
        <v>100</v>
      </c>
      <c r="E27">
        <v>100</v>
      </c>
      <c r="F27">
        <v>100</v>
      </c>
      <c r="G27">
        <v>100</v>
      </c>
      <c r="H27">
        <v>100</v>
      </c>
      <c r="I27">
        <v>100</v>
      </c>
      <c r="J27">
        <v>100</v>
      </c>
      <c r="K27">
        <v>100</v>
      </c>
      <c r="L27">
        <v>100</v>
      </c>
      <c r="M27">
        <v>100</v>
      </c>
      <c r="N27" s="163">
        <f>+B27*(1+N28)</f>
        <v>106.89999999999999</v>
      </c>
      <c r="O27" s="163">
        <f t="shared" ref="O27:BZ27" si="32">+C27*(1+O28)</f>
        <v>106.89999999999999</v>
      </c>
      <c r="P27" s="163">
        <f t="shared" si="32"/>
        <v>106.89999999999999</v>
      </c>
      <c r="Q27" s="163">
        <f t="shared" si="32"/>
        <v>107</v>
      </c>
      <c r="R27" s="163">
        <f t="shared" si="32"/>
        <v>107</v>
      </c>
      <c r="S27" s="163">
        <f t="shared" si="32"/>
        <v>107</v>
      </c>
      <c r="T27" s="163">
        <f t="shared" si="32"/>
        <v>103.89999999999999</v>
      </c>
      <c r="U27" s="163">
        <f t="shared" si="32"/>
        <v>103.89999999999999</v>
      </c>
      <c r="V27" s="163">
        <f t="shared" si="32"/>
        <v>103.89999999999999</v>
      </c>
      <c r="W27" s="163">
        <f t="shared" si="32"/>
        <v>103.1</v>
      </c>
      <c r="X27" s="163">
        <f t="shared" si="32"/>
        <v>103.1</v>
      </c>
      <c r="Y27" s="163">
        <f t="shared" si="32"/>
        <v>103.1</v>
      </c>
      <c r="Z27" s="163">
        <f t="shared" si="32"/>
        <v>112.4588</v>
      </c>
      <c r="AA27" s="163">
        <f t="shared" si="32"/>
        <v>112.4588</v>
      </c>
      <c r="AB27" s="163">
        <f t="shared" si="32"/>
        <v>112.4588</v>
      </c>
      <c r="AC27" s="163">
        <f t="shared" si="32"/>
        <v>114.27600000000001</v>
      </c>
      <c r="AD27" s="163">
        <f t="shared" si="32"/>
        <v>114.27600000000001</v>
      </c>
      <c r="AE27" s="163">
        <f t="shared" si="32"/>
        <v>114.27600000000001</v>
      </c>
      <c r="AF27" s="163">
        <f t="shared" si="32"/>
        <v>112.93929999999999</v>
      </c>
      <c r="AG27" s="163">
        <f t="shared" si="32"/>
        <v>112.93929999999999</v>
      </c>
      <c r="AH27" s="163">
        <f t="shared" si="32"/>
        <v>112.93929999999999</v>
      </c>
      <c r="AI27" s="163">
        <f t="shared" si="32"/>
        <v>112.379</v>
      </c>
      <c r="AJ27" s="163">
        <f t="shared" si="32"/>
        <v>112.379</v>
      </c>
      <c r="AK27" s="163">
        <f t="shared" si="32"/>
        <v>112.379</v>
      </c>
      <c r="AL27" s="163">
        <f t="shared" si="32"/>
        <v>121.455504</v>
      </c>
      <c r="AM27" s="163">
        <f t="shared" si="32"/>
        <v>121.455504</v>
      </c>
      <c r="AN27" s="163">
        <f t="shared" si="32"/>
        <v>121.455504</v>
      </c>
      <c r="AO27" s="163">
        <f t="shared" si="32"/>
        <v>123.41808000000002</v>
      </c>
      <c r="AP27" s="163">
        <f t="shared" si="32"/>
        <v>123.41808000000002</v>
      </c>
      <c r="AQ27" s="163">
        <f t="shared" si="32"/>
        <v>123.41808000000002</v>
      </c>
      <c r="AR27" s="163">
        <f t="shared" si="32"/>
        <v>119.71565799999999</v>
      </c>
      <c r="AS27" s="163">
        <f t="shared" si="32"/>
        <v>119.71565799999999</v>
      </c>
      <c r="AT27" s="163">
        <f t="shared" si="32"/>
        <v>119.71565799999999</v>
      </c>
      <c r="AU27" s="163">
        <f t="shared" si="32"/>
        <v>112.379</v>
      </c>
      <c r="AV27" s="163">
        <f t="shared" si="32"/>
        <v>112.379</v>
      </c>
      <c r="AW27" s="163">
        <f t="shared" si="32"/>
        <v>112.379</v>
      </c>
      <c r="AX27" s="163">
        <f t="shared" si="32"/>
        <v>120.24094896</v>
      </c>
      <c r="AY27" s="163">
        <f t="shared" si="32"/>
        <v>120.24094896</v>
      </c>
      <c r="AZ27" s="163">
        <f t="shared" si="32"/>
        <v>120.24094896</v>
      </c>
      <c r="BA27" s="163">
        <f t="shared" si="32"/>
        <v>129.58898400000001</v>
      </c>
      <c r="BB27" s="163">
        <f t="shared" si="32"/>
        <v>129.58898400000001</v>
      </c>
      <c r="BC27" s="163">
        <f t="shared" si="32"/>
        <v>129.58898400000001</v>
      </c>
      <c r="BD27" s="163">
        <f t="shared" si="32"/>
        <v>119.71565799999999</v>
      </c>
      <c r="BE27" s="163">
        <f t="shared" si="32"/>
        <v>119.71565799999999</v>
      </c>
      <c r="BF27" s="163">
        <f t="shared" si="32"/>
        <v>119.71565799999999</v>
      </c>
      <c r="BG27" s="163">
        <f t="shared" si="32"/>
        <v>116.87416</v>
      </c>
      <c r="BH27" s="163">
        <f t="shared" si="32"/>
        <v>116.87416</v>
      </c>
      <c r="BI27" s="163">
        <f t="shared" si="32"/>
        <v>116.87416</v>
      </c>
      <c r="BJ27" s="163">
        <f t="shared" si="32"/>
        <v>127.4554058976</v>
      </c>
      <c r="BK27" s="163">
        <f t="shared" si="32"/>
        <v>127.4554058976</v>
      </c>
      <c r="BL27" s="163">
        <f t="shared" si="32"/>
        <v>127.4554058976</v>
      </c>
      <c r="BM27" s="163">
        <f t="shared" si="32"/>
        <v>130.88487384000001</v>
      </c>
      <c r="BN27" s="163">
        <f t="shared" si="32"/>
        <v>130.88487384000001</v>
      </c>
      <c r="BO27" s="163">
        <f t="shared" si="32"/>
        <v>130.88487384000001</v>
      </c>
      <c r="BP27" s="163">
        <f t="shared" si="32"/>
        <v>122.10997115999999</v>
      </c>
      <c r="BQ27" s="163">
        <f t="shared" si="32"/>
        <v>122.10997115999999</v>
      </c>
      <c r="BR27" s="163">
        <f t="shared" si="32"/>
        <v>122.10997115999999</v>
      </c>
      <c r="BS27" s="163">
        <f t="shared" si="32"/>
        <v>122.71786800000001</v>
      </c>
      <c r="BT27" s="163">
        <f t="shared" si="32"/>
        <v>122.71786800000001</v>
      </c>
      <c r="BU27" s="163">
        <f t="shared" si="32"/>
        <v>122.71786800000001</v>
      </c>
      <c r="BV27" s="163">
        <f t="shared" si="32"/>
        <v>136.377284310432</v>
      </c>
      <c r="BW27" s="163">
        <f t="shared" si="32"/>
        <v>136.377284310432</v>
      </c>
      <c r="BX27" s="163">
        <f t="shared" si="32"/>
        <v>136.377284310432</v>
      </c>
      <c r="BY27" s="163">
        <f t="shared" si="32"/>
        <v>147.89990743920001</v>
      </c>
      <c r="BZ27" s="163">
        <f t="shared" si="32"/>
        <v>147.89990743920001</v>
      </c>
      <c r="CA27" s="163">
        <f t="shared" ref="CA27:CX27" si="33">+BO27*(1+CA28)</f>
        <v>147.89990743920001</v>
      </c>
      <c r="CB27" s="163">
        <f t="shared" si="33"/>
        <v>144.70031582459998</v>
      </c>
      <c r="CC27" s="163">
        <f t="shared" si="33"/>
        <v>144.70031582459998</v>
      </c>
      <c r="CD27" s="163">
        <f t="shared" si="33"/>
        <v>144.70031582459998</v>
      </c>
      <c r="CE27" s="163">
        <f t="shared" si="33"/>
        <v>142.35272688000001</v>
      </c>
      <c r="CF27" s="163">
        <f t="shared" si="33"/>
        <v>142.35272688000001</v>
      </c>
      <c r="CG27" s="163">
        <f t="shared" si="33"/>
        <v>142.35272688000001</v>
      </c>
      <c r="CH27" s="163">
        <f t="shared" si="33"/>
        <v>151.37878558457953</v>
      </c>
      <c r="CI27" s="163">
        <f t="shared" si="33"/>
        <v>151.37878558457953</v>
      </c>
      <c r="CJ27" s="163">
        <f t="shared" si="33"/>
        <v>151.37878558457953</v>
      </c>
      <c r="CK27" s="163">
        <f t="shared" si="33"/>
        <v>158.4008008673832</v>
      </c>
      <c r="CL27" s="163">
        <f t="shared" si="33"/>
        <v>158.4008008673832</v>
      </c>
      <c r="CM27" s="163">
        <f t="shared" si="33"/>
        <v>158.4008008673832</v>
      </c>
      <c r="CN27" s="163">
        <f t="shared" si="33"/>
        <v>146.14731898284597</v>
      </c>
      <c r="CO27" s="163">
        <f t="shared" si="33"/>
        <v>146.14731898284597</v>
      </c>
      <c r="CP27" s="163">
        <f t="shared" si="33"/>
        <v>146.14731898284597</v>
      </c>
      <c r="CQ27" s="163">
        <f t="shared" si="33"/>
        <v>151.32094867344</v>
      </c>
      <c r="CR27" s="163">
        <f t="shared" si="33"/>
        <v>151.32094867344</v>
      </c>
      <c r="CS27" s="163">
        <f t="shared" si="33"/>
        <v>151.32094867344</v>
      </c>
      <c r="CT27" s="163">
        <f t="shared" si="33"/>
        <v>153.19533101159448</v>
      </c>
      <c r="CU27" s="163">
        <f t="shared" si="33"/>
        <v>153.19533101159448</v>
      </c>
      <c r="CV27" s="163">
        <f t="shared" si="33"/>
        <v>153.19533101159448</v>
      </c>
      <c r="CW27" s="163">
        <f t="shared" si="33"/>
        <v>158.4008008673832</v>
      </c>
      <c r="CX27" s="163">
        <f t="shared" si="33"/>
        <v>158.4008008673832</v>
      </c>
      <c r="DE27">
        <v>100</v>
      </c>
      <c r="DF27">
        <v>100</v>
      </c>
      <c r="DG27">
        <v>100</v>
      </c>
      <c r="DH27">
        <v>100</v>
      </c>
      <c r="DI27">
        <f>+DE27*(1+DI28)</f>
        <v>106.89999999999999</v>
      </c>
      <c r="DJ27">
        <f t="shared" ref="DJ27:EN27" si="34">+DF27*(1+DJ28)</f>
        <v>107</v>
      </c>
      <c r="DK27">
        <f t="shared" si="34"/>
        <v>103.89999999999999</v>
      </c>
      <c r="DL27">
        <f t="shared" si="34"/>
        <v>103.1</v>
      </c>
      <c r="DM27">
        <f t="shared" si="34"/>
        <v>112.4588</v>
      </c>
      <c r="DN27">
        <f t="shared" si="34"/>
        <v>114.27600000000001</v>
      </c>
      <c r="DO27">
        <f t="shared" si="34"/>
        <v>112.93929999999999</v>
      </c>
      <c r="DP27">
        <f t="shared" si="34"/>
        <v>112.379</v>
      </c>
      <c r="DQ27">
        <f t="shared" si="34"/>
        <v>121.455504</v>
      </c>
      <c r="DR27">
        <f t="shared" si="34"/>
        <v>123.41808000000002</v>
      </c>
      <c r="DS27">
        <f t="shared" si="34"/>
        <v>119.71565799999999</v>
      </c>
      <c r="DT27">
        <f t="shared" si="34"/>
        <v>112.379</v>
      </c>
      <c r="DU27">
        <f t="shared" si="34"/>
        <v>120.24094896</v>
      </c>
      <c r="DV27">
        <f t="shared" si="34"/>
        <v>129.58898400000001</v>
      </c>
      <c r="DW27">
        <f t="shared" si="34"/>
        <v>119.71565799999999</v>
      </c>
      <c r="DX27">
        <f t="shared" si="34"/>
        <v>116.87416</v>
      </c>
      <c r="DY27">
        <f t="shared" si="34"/>
        <v>127.4554058976</v>
      </c>
      <c r="DZ27">
        <f t="shared" si="34"/>
        <v>130.88487384000001</v>
      </c>
      <c r="EA27">
        <f t="shared" si="34"/>
        <v>122.10997115999999</v>
      </c>
      <c r="EB27">
        <f t="shared" si="34"/>
        <v>122.71786800000001</v>
      </c>
      <c r="EC27">
        <f t="shared" si="34"/>
        <v>136.377284310432</v>
      </c>
      <c r="ED27">
        <f t="shared" si="34"/>
        <v>147.89990743920001</v>
      </c>
      <c r="EE27">
        <f t="shared" si="34"/>
        <v>144.70031582459998</v>
      </c>
      <c r="EF27">
        <f t="shared" si="34"/>
        <v>142.35272688000001</v>
      </c>
      <c r="EG27">
        <f t="shared" si="34"/>
        <v>151.37878558457953</v>
      </c>
      <c r="EH27">
        <f t="shared" si="34"/>
        <v>158.4008008673832</v>
      </c>
      <c r="EI27">
        <f t="shared" si="34"/>
        <v>146.14731898284597</v>
      </c>
      <c r="EJ27">
        <f t="shared" si="34"/>
        <v>151.32094867344</v>
      </c>
      <c r="EK27">
        <f t="shared" si="34"/>
        <v>153.19533101159448</v>
      </c>
      <c r="EL27">
        <f t="shared" si="34"/>
        <v>161.41041608386345</v>
      </c>
      <c r="EM27">
        <f t="shared" si="34"/>
        <v>149.07026536250291</v>
      </c>
      <c r="EN27">
        <f t="shared" si="34"/>
        <v>155.08064077578214</v>
      </c>
    </row>
    <row r="28" spans="1:144">
      <c r="A28" s="94" t="s">
        <v>190</v>
      </c>
      <c r="C28" s="92"/>
      <c r="D28" s="162"/>
      <c r="E28" s="19"/>
      <c r="N28" s="19">
        <f t="shared" ref="N28:AS28" si="35">+SUMIFS($DE$28:$EN$28,$DE$2:$EN$2,"&lt;=" &amp; P2,$DE$2:$EN$2,"&gt;"&amp;M2)</f>
        <v>6.9000000000000006E-2</v>
      </c>
      <c r="O28" s="19">
        <f t="shared" si="35"/>
        <v>6.9000000000000006E-2</v>
      </c>
      <c r="P28" s="19">
        <f t="shared" si="35"/>
        <v>6.9000000000000006E-2</v>
      </c>
      <c r="Q28" s="19">
        <f t="shared" si="35"/>
        <v>7.0000000000000007E-2</v>
      </c>
      <c r="R28" s="19">
        <f t="shared" si="35"/>
        <v>7.0000000000000007E-2</v>
      </c>
      <c r="S28" s="19">
        <f t="shared" si="35"/>
        <v>7.0000000000000007E-2</v>
      </c>
      <c r="T28" s="19">
        <f t="shared" si="35"/>
        <v>3.9E-2</v>
      </c>
      <c r="U28" s="19">
        <f t="shared" si="35"/>
        <v>3.9E-2</v>
      </c>
      <c r="V28" s="19">
        <f t="shared" si="35"/>
        <v>3.9E-2</v>
      </c>
      <c r="W28" s="19">
        <f t="shared" si="35"/>
        <v>3.1E-2</v>
      </c>
      <c r="X28" s="19">
        <f t="shared" si="35"/>
        <v>3.1E-2</v>
      </c>
      <c r="Y28" s="19">
        <f t="shared" si="35"/>
        <v>3.1E-2</v>
      </c>
      <c r="Z28" s="19">
        <f t="shared" si="35"/>
        <v>5.1999999999999998E-2</v>
      </c>
      <c r="AA28" s="19">
        <f t="shared" si="35"/>
        <v>5.1999999999999998E-2</v>
      </c>
      <c r="AB28" s="19">
        <f t="shared" si="35"/>
        <v>5.1999999999999998E-2</v>
      </c>
      <c r="AC28" s="19">
        <f t="shared" si="35"/>
        <v>6.8000000000000005E-2</v>
      </c>
      <c r="AD28" s="19">
        <f t="shared" si="35"/>
        <v>6.8000000000000005E-2</v>
      </c>
      <c r="AE28" s="19">
        <f t="shared" si="35"/>
        <v>6.8000000000000005E-2</v>
      </c>
      <c r="AF28" s="19">
        <f t="shared" si="35"/>
        <v>8.6999999999999994E-2</v>
      </c>
      <c r="AG28" s="19">
        <f t="shared" si="35"/>
        <v>8.6999999999999994E-2</v>
      </c>
      <c r="AH28" s="19">
        <f t="shared" si="35"/>
        <v>8.6999999999999994E-2</v>
      </c>
      <c r="AI28" s="19">
        <f t="shared" si="35"/>
        <v>0.09</v>
      </c>
      <c r="AJ28" s="19">
        <f t="shared" si="35"/>
        <v>0.09</v>
      </c>
      <c r="AK28" s="19">
        <f t="shared" si="35"/>
        <v>0.09</v>
      </c>
      <c r="AL28" s="19">
        <f t="shared" si="35"/>
        <v>0.08</v>
      </c>
      <c r="AM28" s="19">
        <f t="shared" si="35"/>
        <v>0.08</v>
      </c>
      <c r="AN28" s="19">
        <f t="shared" si="35"/>
        <v>0.08</v>
      </c>
      <c r="AO28" s="19">
        <f t="shared" si="35"/>
        <v>0.08</v>
      </c>
      <c r="AP28" s="19">
        <f t="shared" si="35"/>
        <v>0.08</v>
      </c>
      <c r="AQ28" s="19">
        <f t="shared" si="35"/>
        <v>0.08</v>
      </c>
      <c r="AR28" s="19">
        <f t="shared" si="35"/>
        <v>0.06</v>
      </c>
      <c r="AS28" s="19">
        <f t="shared" si="35"/>
        <v>0.06</v>
      </c>
      <c r="AT28" s="19">
        <f t="shared" ref="AT28:BY28" si="36">+SUMIFS($DE$28:$EN$28,$DE$2:$EN$2,"&lt;=" &amp; AV2,$DE$2:$EN$2,"&gt;"&amp;AS2)</f>
        <v>0.06</v>
      </c>
      <c r="AU28" s="19">
        <f t="shared" si="36"/>
        <v>0</v>
      </c>
      <c r="AV28" s="19">
        <f t="shared" si="36"/>
        <v>0</v>
      </c>
      <c r="AW28" s="19">
        <f t="shared" si="36"/>
        <v>0</v>
      </c>
      <c r="AX28" s="19">
        <f t="shared" si="36"/>
        <v>-0.01</v>
      </c>
      <c r="AY28" s="19">
        <f t="shared" si="36"/>
        <v>-0.01</v>
      </c>
      <c r="AZ28" s="19">
        <f t="shared" si="36"/>
        <v>-0.01</v>
      </c>
      <c r="BA28" s="19">
        <f t="shared" si="36"/>
        <v>0.05</v>
      </c>
      <c r="BB28" s="19">
        <f t="shared" si="36"/>
        <v>0.05</v>
      </c>
      <c r="BC28" s="19">
        <f t="shared" si="36"/>
        <v>0.05</v>
      </c>
      <c r="BD28" s="19">
        <f t="shared" si="36"/>
        <v>0</v>
      </c>
      <c r="BE28" s="19">
        <f t="shared" si="36"/>
        <v>0</v>
      </c>
      <c r="BF28" s="19">
        <f t="shared" si="36"/>
        <v>0</v>
      </c>
      <c r="BG28" s="19">
        <f t="shared" si="36"/>
        <v>0.04</v>
      </c>
      <c r="BH28" s="19">
        <f t="shared" si="36"/>
        <v>0.04</v>
      </c>
      <c r="BI28" s="19">
        <f t="shared" si="36"/>
        <v>0.04</v>
      </c>
      <c r="BJ28" s="19">
        <f t="shared" si="36"/>
        <v>0.06</v>
      </c>
      <c r="BK28" s="19">
        <f t="shared" si="36"/>
        <v>0.06</v>
      </c>
      <c r="BL28" s="19">
        <f t="shared" si="36"/>
        <v>0.06</v>
      </c>
      <c r="BM28" s="19">
        <f t="shared" si="36"/>
        <v>0.01</v>
      </c>
      <c r="BN28" s="19">
        <f t="shared" si="36"/>
        <v>0.01</v>
      </c>
      <c r="BO28" s="19">
        <f t="shared" si="36"/>
        <v>0.01</v>
      </c>
      <c r="BP28" s="19">
        <f t="shared" si="36"/>
        <v>0.02</v>
      </c>
      <c r="BQ28" s="19">
        <f t="shared" si="36"/>
        <v>0.02</v>
      </c>
      <c r="BR28" s="19">
        <f t="shared" si="36"/>
        <v>0.02</v>
      </c>
      <c r="BS28" s="19">
        <f t="shared" si="36"/>
        <v>0.05</v>
      </c>
      <c r="BT28" s="19">
        <f t="shared" si="36"/>
        <v>0.05</v>
      </c>
      <c r="BU28" s="19">
        <f t="shared" si="36"/>
        <v>0.05</v>
      </c>
      <c r="BV28" s="19">
        <f t="shared" si="36"/>
        <v>7.0000000000000007E-2</v>
      </c>
      <c r="BW28" s="19">
        <f t="shared" si="36"/>
        <v>7.0000000000000007E-2</v>
      </c>
      <c r="BX28" s="19">
        <f t="shared" si="36"/>
        <v>7.0000000000000007E-2</v>
      </c>
      <c r="BY28" s="19">
        <f t="shared" si="36"/>
        <v>0.13</v>
      </c>
      <c r="BZ28" s="19">
        <f t="shared" ref="BZ28:CV28" si="37">+SUMIFS($DE$28:$EN$28,$DE$2:$EN$2,"&lt;=" &amp; CB2,$DE$2:$EN$2,"&gt;"&amp;BY2)</f>
        <v>0.13</v>
      </c>
      <c r="CA28" s="19">
        <f t="shared" si="37"/>
        <v>0.13</v>
      </c>
      <c r="CB28" s="19">
        <f t="shared" si="37"/>
        <v>0.185</v>
      </c>
      <c r="CC28" s="19">
        <f t="shared" si="37"/>
        <v>0.185</v>
      </c>
      <c r="CD28" s="19">
        <f t="shared" si="37"/>
        <v>0.185</v>
      </c>
      <c r="CE28" s="19">
        <f t="shared" si="37"/>
        <v>0.16</v>
      </c>
      <c r="CF28" s="19">
        <f t="shared" si="37"/>
        <v>0.16</v>
      </c>
      <c r="CG28" s="19">
        <f t="shared" si="37"/>
        <v>0.16</v>
      </c>
      <c r="CH28" s="19">
        <f t="shared" si="37"/>
        <v>0.11</v>
      </c>
      <c r="CI28" s="19">
        <f t="shared" si="37"/>
        <v>0.11</v>
      </c>
      <c r="CJ28" s="19">
        <f t="shared" si="37"/>
        <v>0.11</v>
      </c>
      <c r="CK28" s="19">
        <f t="shared" si="37"/>
        <v>7.0999999999999994E-2</v>
      </c>
      <c r="CL28" s="19">
        <f t="shared" si="37"/>
        <v>7.0999999999999994E-2</v>
      </c>
      <c r="CM28" s="19">
        <f t="shared" si="37"/>
        <v>7.0999999999999994E-2</v>
      </c>
      <c r="CN28" s="19">
        <f t="shared" si="37"/>
        <v>0.01</v>
      </c>
      <c r="CO28" s="19">
        <f t="shared" si="37"/>
        <v>0.01</v>
      </c>
      <c r="CP28" s="19">
        <f t="shared" si="37"/>
        <v>0.01</v>
      </c>
      <c r="CQ28" s="19">
        <f t="shared" si="37"/>
        <v>6.3E-2</v>
      </c>
      <c r="CR28" s="19">
        <f t="shared" si="37"/>
        <v>6.3E-2</v>
      </c>
      <c r="CS28" s="19">
        <f t="shared" si="37"/>
        <v>6.3E-2</v>
      </c>
      <c r="CT28" s="19">
        <f t="shared" si="37"/>
        <v>1.2E-2</v>
      </c>
      <c r="CU28" s="19">
        <f t="shared" si="37"/>
        <v>1.2E-2</v>
      </c>
      <c r="CV28" s="19">
        <f t="shared" si="37"/>
        <v>1.2E-2</v>
      </c>
      <c r="CW28" s="19"/>
      <c r="CX28" s="19"/>
      <c r="CY28" s="19"/>
      <c r="DI28" s="19">
        <f>+FAT!F17</f>
        <v>6.9000000000000006E-2</v>
      </c>
      <c r="DJ28" s="19">
        <f>+FAT!G17</f>
        <v>7.0000000000000007E-2</v>
      </c>
      <c r="DK28" s="19">
        <f>+FAT!H17</f>
        <v>3.9E-2</v>
      </c>
      <c r="DL28" s="19">
        <f>+FAT!I17</f>
        <v>3.1E-2</v>
      </c>
      <c r="DM28" s="19">
        <f>+FAT!J17</f>
        <v>5.1999999999999998E-2</v>
      </c>
      <c r="DN28" s="19">
        <f>+FAT!K17</f>
        <v>6.8000000000000005E-2</v>
      </c>
      <c r="DO28" s="19">
        <f>+FAT!L17</f>
        <v>8.6999999999999994E-2</v>
      </c>
      <c r="DP28" s="19">
        <f>+FAT!M17</f>
        <v>0.09</v>
      </c>
      <c r="DQ28" s="19">
        <f>+FAT!N17</f>
        <v>0.08</v>
      </c>
      <c r="DR28" s="19">
        <f>+FAT!O17</f>
        <v>0.08</v>
      </c>
      <c r="DS28" s="19">
        <f>+FAT!P17</f>
        <v>0.06</v>
      </c>
      <c r="DT28" s="19">
        <f>+FAT!Q17</f>
        <v>0</v>
      </c>
      <c r="DU28" s="19">
        <f>+FAT!R17</f>
        <v>-0.01</v>
      </c>
      <c r="DV28" s="19">
        <f>+FAT!S17</f>
        <v>0.05</v>
      </c>
      <c r="DW28" s="19">
        <f>+FAT!T17</f>
        <v>0</v>
      </c>
      <c r="DX28" s="19">
        <f>+FAT!U17</f>
        <v>0.04</v>
      </c>
      <c r="DY28" s="19">
        <f>+FAT!V17</f>
        <v>0.06</v>
      </c>
      <c r="DZ28" s="19">
        <f>+FAT!W17</f>
        <v>0.01</v>
      </c>
      <c r="EA28" s="19">
        <f>+FAT!X17</f>
        <v>0.02</v>
      </c>
      <c r="EB28" s="19">
        <f>+FAT!Y17</f>
        <v>0.05</v>
      </c>
      <c r="EC28" s="19">
        <f>+FAT!Z17</f>
        <v>7.0000000000000007E-2</v>
      </c>
      <c r="ED28" s="19">
        <f>+FAT!AA17</f>
        <v>0.13</v>
      </c>
      <c r="EE28" s="19">
        <f>+FAT!AB17</f>
        <v>0.185</v>
      </c>
      <c r="EF28" s="19">
        <f>+FAT!AC17</f>
        <v>0.16</v>
      </c>
      <c r="EG28" s="19">
        <f>+FAT!AD17</f>
        <v>0.11</v>
      </c>
      <c r="EH28" s="19">
        <f>+FAT!AE17</f>
        <v>7.0999999999999994E-2</v>
      </c>
      <c r="EI28" s="19">
        <f>+FAT!AF17</f>
        <v>0.01</v>
      </c>
      <c r="EJ28" s="19">
        <f>+FAT!AG17</f>
        <v>6.3E-2</v>
      </c>
      <c r="EK28" s="19">
        <f>+FAT!AH17</f>
        <v>1.2E-2</v>
      </c>
      <c r="EL28" s="19">
        <f>+FAT!AI17</f>
        <v>1.9E-2</v>
      </c>
      <c r="EM28" s="19">
        <f>+FAT!AJ17</f>
        <v>0.02</v>
      </c>
      <c r="EN28" s="19">
        <f>+FAT!AK17</f>
        <v>2.4845813717807034E-2</v>
      </c>
    </row>
    <row r="29" spans="1:144">
      <c r="A29" s="94"/>
      <c r="C29" s="92"/>
      <c r="D29" s="162"/>
      <c r="E29" s="19"/>
      <c r="N29" s="92"/>
      <c r="O29" s="162"/>
      <c r="P29" s="19"/>
      <c r="S29" s="19"/>
      <c r="V29" s="19"/>
      <c r="W29" s="19"/>
      <c r="X29" s="19"/>
      <c r="Y29" s="19"/>
      <c r="AB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row>
    <row r="30" spans="1:144">
      <c r="A30" s="94"/>
      <c r="C30" s="92"/>
      <c r="D30" s="162"/>
      <c r="E30" s="19"/>
      <c r="N30" s="92"/>
      <c r="O30" s="162"/>
      <c r="P30" s="19"/>
      <c r="S30" s="19"/>
      <c r="V30" s="19"/>
      <c r="W30" s="19"/>
      <c r="X30" s="19"/>
      <c r="Y30" s="19"/>
      <c r="AB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row>
    <row r="31" spans="1:144">
      <c r="A31" s="94"/>
      <c r="C31" s="92"/>
      <c r="D31" s="162"/>
      <c r="E31" s="19"/>
      <c r="N31" s="92"/>
      <c r="O31" s="162"/>
      <c r="P31" s="19"/>
      <c r="S31" s="19"/>
      <c r="V31" s="19"/>
      <c r="W31" s="19"/>
      <c r="X31" s="19"/>
      <c r="Y31" s="19"/>
      <c r="AB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row>
    <row r="32" spans="1:144">
      <c r="A32" s="94"/>
      <c r="C32" s="92"/>
      <c r="D32" s="162"/>
      <c r="E32" s="19"/>
      <c r="N32" s="92"/>
      <c r="O32" s="162"/>
      <c r="P32" s="19"/>
      <c r="S32" s="19"/>
      <c r="V32" s="19"/>
      <c r="W32" s="19"/>
      <c r="X32" s="19"/>
      <c r="Y32" s="19"/>
      <c r="AB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row>
    <row r="33" spans="1:144">
      <c r="A33" s="94"/>
      <c r="C33" s="92"/>
      <c r="D33" s="162"/>
      <c r="E33" s="19"/>
      <c r="N33" s="92"/>
      <c r="O33" s="162"/>
      <c r="P33" s="19"/>
      <c r="S33" s="19"/>
      <c r="V33" s="19"/>
      <c r="W33" s="19"/>
      <c r="X33" s="19"/>
      <c r="Y33" s="19"/>
      <c r="AB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row>
    <row r="34" spans="1:144">
      <c r="A34" s="94"/>
      <c r="C34" s="92"/>
      <c r="D34" s="162"/>
      <c r="E34" s="19"/>
      <c r="N34" s="92"/>
      <c r="O34" s="162"/>
      <c r="P34" s="19"/>
      <c r="S34" s="19"/>
      <c r="V34" s="19"/>
      <c r="W34" s="19"/>
      <c r="X34" s="19"/>
      <c r="Y34" s="19"/>
      <c r="AB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row>
  </sheetData>
  <phoneticPr fontId="30"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AB51-4E14-40F6-8167-5D2E0D64D080}">
  <dimension ref="A1:GL121"/>
  <sheetViews>
    <sheetView workbookViewId="0">
      <pane xSplit="1" ySplit="2" topLeftCell="DH56" activePane="bottomRight" state="frozen"/>
      <selection pane="topRight" activeCell="B1" sqref="B1"/>
      <selection pane="bottomLeft" activeCell="A3" sqref="A3"/>
      <selection pane="bottomRight" sqref="A1:XFD1048576"/>
    </sheetView>
  </sheetViews>
  <sheetFormatPr defaultColWidth="9.140625" defaultRowHeight="15" outlineLevelCol="1"/>
  <cols>
    <col min="1" max="1" width="26.28515625" style="575" bestFit="1" customWidth="1"/>
    <col min="2" max="20" width="7.7109375" style="575" bestFit="1" customWidth="1"/>
    <col min="21" max="21" width="8" style="575" bestFit="1" customWidth="1"/>
    <col min="22" max="48" width="7.7109375" style="575" bestFit="1" customWidth="1"/>
    <col min="49" max="49" width="8" style="575" bestFit="1" customWidth="1"/>
    <col min="50" max="59" width="7.7109375" style="575" bestFit="1" customWidth="1"/>
    <col min="60" max="63" width="9.140625" style="575"/>
    <col min="64" max="66" width="9.5703125" style="575" bestFit="1" customWidth="1"/>
    <col min="67" max="67" width="7.7109375" style="576" customWidth="1"/>
    <col min="68" max="69" width="7.7109375" style="575" customWidth="1"/>
    <col min="70" max="70" width="9.28515625" style="575" customWidth="1"/>
    <col min="71" max="74" width="7.7109375" style="575" customWidth="1"/>
    <col min="75" max="99" width="7.7109375" style="575" hidden="1" customWidth="1" outlineLevel="1"/>
    <col min="100" max="100" width="11.7109375" style="575" hidden="1" customWidth="1" outlineLevel="1" collapsed="1"/>
    <col min="101" max="101" width="10.42578125" style="575" hidden="1" customWidth="1" outlineLevel="1"/>
    <col min="102" max="102" width="7.140625" style="575" bestFit="1" customWidth="1" collapsed="1"/>
    <col min="103" max="106" width="8" style="575" bestFit="1" customWidth="1"/>
    <col min="107" max="115" width="7.7109375" style="575" bestFit="1" customWidth="1"/>
    <col min="116" max="116" width="7.7109375" style="576" bestFit="1" customWidth="1"/>
    <col min="117" max="117" width="8.7109375" style="575" bestFit="1" customWidth="1"/>
    <col min="118" max="126" width="7.7109375" style="575" bestFit="1" customWidth="1"/>
    <col min="127" max="127" width="9.140625" style="575"/>
    <col min="194" max="16384" width="9.140625" style="575"/>
  </cols>
  <sheetData>
    <row r="1" spans="1:132" s="540" customFormat="1" ht="11.25">
      <c r="A1" s="111">
        <v>46034</v>
      </c>
      <c r="B1" s="112">
        <v>2009</v>
      </c>
      <c r="C1" s="112">
        <v>2009</v>
      </c>
      <c r="D1" s="112">
        <v>2009</v>
      </c>
      <c r="E1" s="112">
        <v>2009</v>
      </c>
      <c r="F1" s="112">
        <v>2010</v>
      </c>
      <c r="G1" s="112">
        <v>2010</v>
      </c>
      <c r="H1" s="112">
        <v>2010</v>
      </c>
      <c r="I1" s="112">
        <v>2010</v>
      </c>
      <c r="J1" s="112">
        <v>2011</v>
      </c>
      <c r="K1" s="112">
        <v>2011</v>
      </c>
      <c r="L1" s="112">
        <v>2011</v>
      </c>
      <c r="M1" s="112">
        <v>2011</v>
      </c>
      <c r="N1" s="112">
        <v>2012</v>
      </c>
      <c r="O1" s="112">
        <v>2012</v>
      </c>
      <c r="P1" s="112">
        <v>2012</v>
      </c>
      <c r="Q1" s="112">
        <v>2012</v>
      </c>
      <c r="R1" s="112">
        <v>2013</v>
      </c>
      <c r="S1" s="112">
        <v>2013</v>
      </c>
      <c r="T1" s="112">
        <v>2013</v>
      </c>
      <c r="U1" s="112">
        <v>2013</v>
      </c>
      <c r="V1" s="112">
        <v>2014</v>
      </c>
      <c r="W1" s="112">
        <v>2014</v>
      </c>
      <c r="X1" s="112">
        <v>2014</v>
      </c>
      <c r="Y1" s="112">
        <v>2014</v>
      </c>
      <c r="Z1" s="112">
        <v>2015</v>
      </c>
      <c r="AA1" s="112">
        <v>2015</v>
      </c>
      <c r="AB1" s="112">
        <v>2015</v>
      </c>
      <c r="AC1" s="112">
        <v>2015</v>
      </c>
      <c r="AD1" s="112">
        <v>2016</v>
      </c>
      <c r="AE1" s="112">
        <v>2016</v>
      </c>
      <c r="AF1" s="112">
        <v>2016</v>
      </c>
      <c r="AG1" s="112">
        <v>2016</v>
      </c>
      <c r="AH1" s="112">
        <v>2017</v>
      </c>
      <c r="AI1" s="112">
        <v>2017</v>
      </c>
      <c r="AJ1" s="112">
        <v>2017</v>
      </c>
      <c r="AK1" s="112">
        <v>2017</v>
      </c>
      <c r="AL1" s="112">
        <v>2018</v>
      </c>
      <c r="AM1" s="112">
        <v>2018</v>
      </c>
      <c r="AN1" s="112">
        <v>2018</v>
      </c>
      <c r="AO1" s="112">
        <v>2018</v>
      </c>
      <c r="AP1" s="112">
        <v>2019</v>
      </c>
      <c r="AQ1" s="112">
        <v>2019</v>
      </c>
      <c r="AR1" s="112">
        <v>2019</v>
      </c>
      <c r="AS1" s="112">
        <v>2019</v>
      </c>
      <c r="AT1" s="112">
        <v>2020</v>
      </c>
      <c r="AU1" s="112">
        <v>2020</v>
      </c>
      <c r="AV1" s="112">
        <v>2020</v>
      </c>
      <c r="AW1" s="112">
        <v>2020</v>
      </c>
      <c r="AX1" s="112">
        <v>2021</v>
      </c>
      <c r="AY1" s="112">
        <v>2021</v>
      </c>
      <c r="AZ1" s="539">
        <v>2021</v>
      </c>
      <c r="BA1" s="539">
        <v>2021</v>
      </c>
      <c r="BB1" s="539">
        <v>2022</v>
      </c>
      <c r="BC1" s="539">
        <v>2022</v>
      </c>
      <c r="BD1" s="539">
        <v>2022</v>
      </c>
      <c r="BE1" s="539">
        <v>2022</v>
      </c>
      <c r="BF1" s="539">
        <v>2023</v>
      </c>
      <c r="BG1" s="539">
        <v>2023</v>
      </c>
      <c r="BH1" s="539">
        <v>2023</v>
      </c>
      <c r="BI1" s="539">
        <v>2023</v>
      </c>
      <c r="BJ1" s="539">
        <v>2024</v>
      </c>
      <c r="BK1" s="539">
        <v>2024</v>
      </c>
      <c r="BL1" s="539">
        <v>2024</v>
      </c>
      <c r="BM1" s="539">
        <v>2024</v>
      </c>
      <c r="BN1" s="539">
        <v>2025</v>
      </c>
      <c r="BO1" s="539">
        <v>2025</v>
      </c>
      <c r="BP1" s="113">
        <v>2025</v>
      </c>
      <c r="BQ1" s="112">
        <v>2025</v>
      </c>
      <c r="BR1" s="112">
        <v>2026</v>
      </c>
      <c r="BS1" s="112">
        <v>2026</v>
      </c>
      <c r="BT1" s="112">
        <v>2026</v>
      </c>
      <c r="BU1" s="112">
        <v>2026</v>
      </c>
      <c r="BV1" s="112"/>
      <c r="BW1" s="112"/>
      <c r="BX1" s="112"/>
      <c r="BY1" s="112"/>
      <c r="BZ1" s="112"/>
      <c r="CA1" s="112"/>
      <c r="CB1" s="112"/>
      <c r="CC1" s="112"/>
      <c r="CD1" s="112"/>
      <c r="CE1" s="112"/>
      <c r="CF1" s="112"/>
      <c r="CG1" s="112"/>
      <c r="CH1" s="112"/>
      <c r="CI1" s="112"/>
      <c r="CJ1" s="112"/>
      <c r="CK1" s="112"/>
      <c r="CL1" s="112"/>
      <c r="CM1" s="112"/>
      <c r="CN1" s="112"/>
      <c r="CO1" s="112"/>
      <c r="CP1" s="112"/>
      <c r="CQ1" s="112"/>
      <c r="CR1" s="112"/>
      <c r="CS1" s="112"/>
      <c r="CT1" s="112"/>
      <c r="CU1" s="112"/>
      <c r="CV1" s="112"/>
      <c r="CW1" s="112"/>
      <c r="CX1" s="112"/>
      <c r="CY1" s="112">
        <v>2011</v>
      </c>
      <c r="CZ1" s="112">
        <v>2012</v>
      </c>
      <c r="DA1" s="112">
        <v>2013</v>
      </c>
      <c r="DB1" s="112">
        <v>2014</v>
      </c>
      <c r="DC1" s="112">
        <v>2015</v>
      </c>
      <c r="DD1" s="112">
        <v>2016</v>
      </c>
      <c r="DE1" s="112">
        <v>2017</v>
      </c>
      <c r="DF1" s="539">
        <v>2018</v>
      </c>
      <c r="DG1" s="539">
        <v>2019</v>
      </c>
      <c r="DH1" s="539">
        <v>2020</v>
      </c>
      <c r="DI1" s="539">
        <v>2021</v>
      </c>
      <c r="DJ1" s="539">
        <v>2022</v>
      </c>
      <c r="DK1" s="539">
        <v>2023</v>
      </c>
      <c r="DL1" s="113">
        <v>2024</v>
      </c>
      <c r="DM1" s="112">
        <v>2025</v>
      </c>
      <c r="DN1" s="112">
        <v>2026</v>
      </c>
      <c r="DO1" s="112">
        <v>2027</v>
      </c>
      <c r="DP1" s="112">
        <v>2028</v>
      </c>
      <c r="DQ1" s="112">
        <v>2029</v>
      </c>
      <c r="DR1" s="112">
        <v>2030</v>
      </c>
      <c r="DS1" s="112">
        <v>2031</v>
      </c>
      <c r="DT1" s="112">
        <v>2032</v>
      </c>
      <c r="DU1" s="112">
        <v>2033</v>
      </c>
      <c r="DV1" s="112">
        <v>2034</v>
      </c>
      <c r="DW1" s="112">
        <v>2035</v>
      </c>
      <c r="DX1" s="112">
        <v>2036</v>
      </c>
      <c r="DY1" s="112">
        <v>2037</v>
      </c>
      <c r="DZ1" s="112">
        <v>2038</v>
      </c>
      <c r="EA1" s="112">
        <v>2039</v>
      </c>
      <c r="EB1" s="112">
        <v>2040</v>
      </c>
    </row>
    <row r="2" spans="1:132" s="114" customFormat="1" ht="11.25">
      <c r="A2" s="114" t="s">
        <v>448</v>
      </c>
      <c r="B2" s="115">
        <v>39903</v>
      </c>
      <c r="C2" s="115">
        <v>39994</v>
      </c>
      <c r="D2" s="115">
        <v>40086</v>
      </c>
      <c r="E2" s="115">
        <v>40178</v>
      </c>
      <c r="F2" s="115">
        <v>40268</v>
      </c>
      <c r="G2" s="115">
        <v>40359</v>
      </c>
      <c r="H2" s="115">
        <v>40451</v>
      </c>
      <c r="I2" s="115">
        <v>40543</v>
      </c>
      <c r="J2" s="115">
        <v>40633</v>
      </c>
      <c r="K2" s="115">
        <v>40724</v>
      </c>
      <c r="L2" s="115">
        <v>40816</v>
      </c>
      <c r="M2" s="115">
        <v>40908</v>
      </c>
      <c r="N2" s="115">
        <v>40999</v>
      </c>
      <c r="O2" s="115">
        <v>41090</v>
      </c>
      <c r="P2" s="115">
        <v>41182</v>
      </c>
      <c r="Q2" s="115">
        <v>41274</v>
      </c>
      <c r="R2" s="115">
        <v>41364</v>
      </c>
      <c r="S2" s="115">
        <v>41455</v>
      </c>
      <c r="T2" s="115">
        <v>41547</v>
      </c>
      <c r="U2" s="115">
        <v>41639</v>
      </c>
      <c r="V2" s="115">
        <v>41729</v>
      </c>
      <c r="W2" s="115">
        <v>41820</v>
      </c>
      <c r="X2" s="115">
        <v>41912</v>
      </c>
      <c r="Y2" s="115">
        <v>42004</v>
      </c>
      <c r="Z2" s="115">
        <v>42094</v>
      </c>
      <c r="AA2" s="115">
        <v>42185</v>
      </c>
      <c r="AB2" s="115">
        <v>42277</v>
      </c>
      <c r="AC2" s="115">
        <v>42369</v>
      </c>
      <c r="AD2" s="115">
        <v>42460</v>
      </c>
      <c r="AE2" s="115">
        <v>42551</v>
      </c>
      <c r="AF2" s="115">
        <v>42643</v>
      </c>
      <c r="AG2" s="115">
        <v>42735</v>
      </c>
      <c r="AH2" s="115">
        <v>42825</v>
      </c>
      <c r="AI2" s="115">
        <v>42916</v>
      </c>
      <c r="AJ2" s="115">
        <v>43008</v>
      </c>
      <c r="AK2" s="115">
        <v>43100</v>
      </c>
      <c r="AL2" s="115">
        <v>43190</v>
      </c>
      <c r="AM2" s="115">
        <v>43281</v>
      </c>
      <c r="AN2" s="115">
        <v>43373</v>
      </c>
      <c r="AO2" s="115">
        <v>43465</v>
      </c>
      <c r="AP2" s="115">
        <v>43555</v>
      </c>
      <c r="AQ2" s="115">
        <v>43646</v>
      </c>
      <c r="AR2" s="115">
        <v>43738</v>
      </c>
      <c r="AS2" s="115">
        <v>43830</v>
      </c>
      <c r="AT2" s="541">
        <v>43921</v>
      </c>
      <c r="AU2" s="541">
        <v>44012</v>
      </c>
      <c r="AV2" s="541">
        <v>44104</v>
      </c>
      <c r="AW2" s="541">
        <v>44196</v>
      </c>
      <c r="AX2" s="541">
        <v>44286</v>
      </c>
      <c r="AY2" s="541">
        <v>44377</v>
      </c>
      <c r="AZ2" s="541">
        <v>44469</v>
      </c>
      <c r="BA2" s="541">
        <v>44561</v>
      </c>
      <c r="BB2" s="541">
        <v>44651</v>
      </c>
      <c r="BC2" s="541">
        <v>44742</v>
      </c>
      <c r="BD2" s="541">
        <v>44834</v>
      </c>
      <c r="BE2" s="541">
        <v>44926</v>
      </c>
      <c r="BF2" s="541">
        <v>45016</v>
      </c>
      <c r="BG2" s="541">
        <v>45107</v>
      </c>
      <c r="BH2" s="541">
        <v>45199</v>
      </c>
      <c r="BI2" s="541">
        <v>45291</v>
      </c>
      <c r="BJ2" s="541">
        <v>45382</v>
      </c>
      <c r="BK2" s="541">
        <v>45473</v>
      </c>
      <c r="BL2" s="541">
        <v>45565</v>
      </c>
      <c r="BM2" s="541">
        <v>45657</v>
      </c>
      <c r="BN2" s="541">
        <v>45747</v>
      </c>
      <c r="BO2" s="541">
        <v>45838</v>
      </c>
      <c r="BP2" s="116">
        <v>45930</v>
      </c>
      <c r="BQ2" s="115">
        <v>46022</v>
      </c>
      <c r="BR2" s="115">
        <v>46112</v>
      </c>
      <c r="BS2" s="115">
        <v>46203</v>
      </c>
      <c r="BT2" s="115">
        <v>46295</v>
      </c>
      <c r="BU2" s="115">
        <v>46387</v>
      </c>
      <c r="BV2" s="115"/>
      <c r="BW2" s="115"/>
      <c r="BX2" s="115"/>
      <c r="BY2" s="115"/>
      <c r="BZ2" s="115"/>
      <c r="CA2" s="115"/>
      <c r="CB2" s="115"/>
      <c r="CC2" s="115"/>
      <c r="CD2" s="115"/>
      <c r="CE2" s="115"/>
      <c r="CF2" s="115"/>
      <c r="CG2" s="115"/>
      <c r="CH2" s="115"/>
      <c r="CI2" s="115"/>
      <c r="CJ2" s="115"/>
      <c r="CK2" s="115"/>
      <c r="CL2" s="115"/>
      <c r="CM2" s="115"/>
      <c r="CN2" s="115"/>
      <c r="CO2" s="115"/>
      <c r="CP2" s="115"/>
      <c r="CQ2" s="115"/>
      <c r="CR2" s="115"/>
      <c r="CS2" s="115"/>
      <c r="CT2" s="115"/>
      <c r="CU2" s="115"/>
      <c r="CV2" s="115"/>
      <c r="CW2" s="115"/>
      <c r="CX2" s="115"/>
      <c r="CY2" s="115">
        <v>40908</v>
      </c>
      <c r="CZ2" s="115">
        <v>41274</v>
      </c>
      <c r="DA2" s="115">
        <v>41639</v>
      </c>
      <c r="DB2" s="115">
        <v>42004</v>
      </c>
      <c r="DC2" s="115">
        <v>42369</v>
      </c>
      <c r="DD2" s="115">
        <v>42735</v>
      </c>
      <c r="DE2" s="115">
        <v>43100</v>
      </c>
      <c r="DF2" s="541">
        <v>43465</v>
      </c>
      <c r="DG2" s="541">
        <v>43830</v>
      </c>
      <c r="DH2" s="541">
        <v>44196</v>
      </c>
      <c r="DI2" s="541">
        <v>44561</v>
      </c>
      <c r="DJ2" s="541">
        <v>44926</v>
      </c>
      <c r="DK2" s="541">
        <v>45291</v>
      </c>
      <c r="DL2" s="116">
        <v>45657</v>
      </c>
      <c r="DM2" s="115">
        <v>46022</v>
      </c>
      <c r="DN2" s="115">
        <v>46387</v>
      </c>
      <c r="DO2" s="115">
        <v>46752</v>
      </c>
      <c r="DP2" s="115">
        <v>47118</v>
      </c>
      <c r="DQ2" s="115">
        <v>47483</v>
      </c>
      <c r="DR2" s="115">
        <v>47848</v>
      </c>
      <c r="DS2" s="115">
        <v>48213</v>
      </c>
      <c r="DT2" s="115">
        <v>48579</v>
      </c>
      <c r="DU2" s="115">
        <v>48944</v>
      </c>
      <c r="DV2" s="115">
        <v>49309</v>
      </c>
      <c r="DW2" s="115">
        <v>49674</v>
      </c>
      <c r="DX2" s="115">
        <v>50040</v>
      </c>
      <c r="DY2" s="115">
        <v>50405</v>
      </c>
      <c r="DZ2" s="115">
        <v>50770</v>
      </c>
      <c r="EA2" s="115">
        <v>51135</v>
      </c>
      <c r="EB2" s="115">
        <v>51501</v>
      </c>
    </row>
    <row r="3" spans="1:132" s="545" customFormat="1" ht="11.25">
      <c r="A3" s="35" t="s">
        <v>449</v>
      </c>
      <c r="B3" s="36">
        <v>606.59777777777765</v>
      </c>
      <c r="C3" s="36">
        <v>566.21015384615396</v>
      </c>
      <c r="D3" s="36">
        <v>545.48909090909092</v>
      </c>
      <c r="E3" s="36">
        <v>517.95692307692309</v>
      </c>
      <c r="F3" s="36">
        <v>519.07682539682537</v>
      </c>
      <c r="G3" s="36">
        <v>530.63538461538474</v>
      </c>
      <c r="H3" s="36">
        <v>510.71378787878791</v>
      </c>
      <c r="I3" s="36">
        <v>479.9486363636363</v>
      </c>
      <c r="J3" s="36">
        <v>481.68390625000018</v>
      </c>
      <c r="K3" s="36">
        <v>469.22906250000005</v>
      </c>
      <c r="L3" s="36">
        <v>471.92600000000004</v>
      </c>
      <c r="M3" s="36">
        <v>509.33055555555552</v>
      </c>
      <c r="N3" s="36">
        <v>495.66920000000005</v>
      </c>
      <c r="O3" s="36">
        <v>498.04085714285713</v>
      </c>
      <c r="P3" s="36">
        <v>484.56666666666661</v>
      </c>
      <c r="Q3" s="36">
        <v>478.17017857142855</v>
      </c>
      <c r="R3" s="36">
        <v>472.40950819672145</v>
      </c>
      <c r="S3" s="36">
        <v>484.81083333333322</v>
      </c>
      <c r="T3" s="36">
        <v>508.39131147540974</v>
      </c>
      <c r="U3" s="36">
        <v>517.35193548387088</v>
      </c>
      <c r="V3" s="36">
        <v>552.58476190476188</v>
      </c>
      <c r="W3" s="36">
        <v>554.6754838709677</v>
      </c>
      <c r="X3" s="36">
        <v>577.71322580645153</v>
      </c>
      <c r="Y3" s="36">
        <v>598.60696969696971</v>
      </c>
      <c r="Z3" s="36">
        <v>624.50937499999998</v>
      </c>
      <c r="AA3" s="36">
        <v>616.72525423728837</v>
      </c>
      <c r="AB3" s="36">
        <v>679.16576271186455</v>
      </c>
      <c r="AC3" s="36">
        <v>698.02887096774202</v>
      </c>
      <c r="AD3" s="36">
        <v>701.10444444444443</v>
      </c>
      <c r="AE3" s="36">
        <v>677.39812499999994</v>
      </c>
      <c r="AF3" s="36">
        <v>661.67106060606022</v>
      </c>
      <c r="AG3" s="36">
        <v>665.7209677419354</v>
      </c>
      <c r="AH3" s="36">
        <v>655.333442622951</v>
      </c>
      <c r="AI3" s="36">
        <v>664.86758064516141</v>
      </c>
      <c r="AJ3" s="36">
        <v>642.36590163934443</v>
      </c>
      <c r="AK3" s="36">
        <v>633.4575806451611</v>
      </c>
      <c r="AL3" s="36">
        <v>601.94999999999982</v>
      </c>
      <c r="AM3" s="36">
        <v>621.69859374999953</v>
      </c>
      <c r="AN3" s="36">
        <v>663.30812500000013</v>
      </c>
      <c r="AO3" s="36">
        <v>679.74999999999989</v>
      </c>
      <c r="AP3" s="36">
        <v>667.58921875000021</v>
      </c>
      <c r="AQ3" s="36">
        <v>683.62206349206372</v>
      </c>
      <c r="AR3" s="542">
        <v>706.46061538461538</v>
      </c>
      <c r="AS3" s="542">
        <v>755.1612121212122</v>
      </c>
      <c r="AT3" s="542">
        <v>804.15</v>
      </c>
      <c r="AU3" s="542">
        <v>822.41606557377054</v>
      </c>
      <c r="AV3" s="542">
        <v>780.83265625000001</v>
      </c>
      <c r="AW3" s="542">
        <v>760.92806451612921</v>
      </c>
      <c r="AX3" s="543">
        <v>724.37269841269847</v>
      </c>
      <c r="AY3" s="543">
        <v>715.49737704918039</v>
      </c>
      <c r="AZ3" s="543">
        <v>773.73421874999985</v>
      </c>
      <c r="BA3" s="543">
        <v>826.76571428571424</v>
      </c>
      <c r="BB3" s="543">
        <v>808.16859375000013</v>
      </c>
      <c r="BC3" s="543">
        <v>845.1271875000001</v>
      </c>
      <c r="BD3" s="543">
        <v>927.20625000000007</v>
      </c>
      <c r="BE3" s="543">
        <v>913.69063492063481</v>
      </c>
      <c r="BF3" s="543">
        <v>810.09437500000013</v>
      </c>
      <c r="BG3" s="543">
        <v>801.18230769230729</v>
      </c>
      <c r="BH3" s="543">
        <v>853.25046153846165</v>
      </c>
      <c r="BI3" s="543">
        <v>895.51492063492071</v>
      </c>
      <c r="BJ3" s="543">
        <v>946.47421874999998</v>
      </c>
      <c r="BK3" s="543">
        <v>934.15809523809537</v>
      </c>
      <c r="BL3" s="543">
        <v>930.772258064516</v>
      </c>
      <c r="BM3" s="543">
        <v>963.48419354838711</v>
      </c>
      <c r="BN3" s="543">
        <v>963.21730158730213</v>
      </c>
      <c r="BO3" s="543">
        <v>946.92741935483855</v>
      </c>
      <c r="BP3" s="57">
        <v>959.88145161290322</v>
      </c>
      <c r="BQ3" s="37">
        <v>934.34777777777799</v>
      </c>
      <c r="BR3" s="37">
        <v>892.96</v>
      </c>
      <c r="BS3" s="37">
        <v>882.19256810062825</v>
      </c>
      <c r="BT3" s="37">
        <v>881.2377406041436</v>
      </c>
      <c r="BU3" s="37">
        <v>884.00209157846689</v>
      </c>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544"/>
      <c r="CW3" s="86"/>
      <c r="CX3" s="35"/>
      <c r="CY3" s="36">
        <v>483.04238107638895</v>
      </c>
      <c r="CZ3" s="36">
        <v>489.11172559523811</v>
      </c>
      <c r="DA3" s="36">
        <v>495.74089712233382</v>
      </c>
      <c r="DB3" s="36">
        <v>570.8951103197877</v>
      </c>
      <c r="DC3" s="36">
        <v>654.60731572922373</v>
      </c>
      <c r="DD3" s="36">
        <v>676.47364944811</v>
      </c>
      <c r="DE3" s="36">
        <v>649.00612638815448</v>
      </c>
      <c r="DF3" s="36">
        <v>641.67667968749981</v>
      </c>
      <c r="DG3" s="542">
        <v>703.20827743697282</v>
      </c>
      <c r="DH3" s="542">
        <v>792.08169658497502</v>
      </c>
      <c r="DI3" s="542">
        <v>760.09250212439827</v>
      </c>
      <c r="DJ3" s="542">
        <v>873.54816654265881</v>
      </c>
      <c r="DK3" s="542">
        <v>840.0105162164225</v>
      </c>
      <c r="DL3" s="109">
        <v>943.72219140024959</v>
      </c>
      <c r="DM3" s="37">
        <v>951.0934875832055</v>
      </c>
      <c r="DN3" s="37">
        <v>885.09810007080978</v>
      </c>
      <c r="DO3" s="37">
        <v>888.90998441534384</v>
      </c>
      <c r="DP3" s="37">
        <v>897.62478818412171</v>
      </c>
      <c r="DQ3" s="37">
        <v>906.42503120553465</v>
      </c>
      <c r="DR3" s="37">
        <v>915.31155111931457</v>
      </c>
      <c r="DS3" s="37">
        <v>924.2851937773471</v>
      </c>
      <c r="DT3" s="37">
        <v>933.34681332418381</v>
      </c>
      <c r="DU3" s="37">
        <v>942.49727227834239</v>
      </c>
      <c r="DV3" s="37">
        <v>951.73744161440459</v>
      </c>
      <c r="DW3" s="37">
        <v>961.06820084591834</v>
      </c>
      <c r="DX3" s="37">
        <v>970.4904381091136</v>
      </c>
      <c r="DY3" s="37">
        <v>980.00505024743825</v>
      </c>
      <c r="DZ3" s="37">
        <v>989.61294289692296</v>
      </c>
      <c r="EA3" s="37">
        <v>999.31503057238297</v>
      </c>
      <c r="EB3" s="37">
        <v>1009.1122367544651</v>
      </c>
    </row>
    <row r="4" spans="1:132" s="545" customFormat="1" ht="11.25">
      <c r="A4" s="35" t="s">
        <v>450</v>
      </c>
      <c r="B4" s="36">
        <v>3.1852984126984127</v>
      </c>
      <c r="C4" s="36">
        <v>3.0233353846153843</v>
      </c>
      <c r="D4" s="36">
        <v>2.9570772727272718</v>
      </c>
      <c r="E4" s="36">
        <v>2.8775046153846149</v>
      </c>
      <c r="F4" s="36">
        <v>2.8492222222222225</v>
      </c>
      <c r="G4" s="36">
        <v>2.8403476923076929</v>
      </c>
      <c r="H4" s="36">
        <v>2.8052454545454544</v>
      </c>
      <c r="I4" s="36">
        <v>2.8042828124999994</v>
      </c>
      <c r="J4" s="36">
        <v>2.7787249999999997</v>
      </c>
      <c r="K4" s="36">
        <v>2.7841171874999993</v>
      </c>
      <c r="L4" s="36">
        <v>2.7412569230769241</v>
      </c>
      <c r="M4" s="36">
        <v>2.7131641509433955</v>
      </c>
      <c r="N4" s="36">
        <v>2.6816818181818176</v>
      </c>
      <c r="O4" s="36">
        <v>2.6657377049180333</v>
      </c>
      <c r="P4" s="36">
        <v>2.6159736842105268</v>
      </c>
      <c r="Q4" s="36">
        <v>2.5819313725490201</v>
      </c>
      <c r="R4" s="36">
        <v>2.5692666666666666</v>
      </c>
      <c r="S4" s="36">
        <v>2.658300000000001</v>
      </c>
      <c r="T4" s="36">
        <v>2.7856370370370365</v>
      </c>
      <c r="U4" s="36">
        <v>2.780846938775511</v>
      </c>
      <c r="V4" s="36">
        <v>2.8097555555555562</v>
      </c>
      <c r="W4" s="36">
        <v>2.7918758064516123</v>
      </c>
      <c r="X4" s="36">
        <v>2.8226384615384625</v>
      </c>
      <c r="Y4" s="36">
        <v>2.9316698412698416</v>
      </c>
      <c r="Z4" s="36">
        <v>3.0606290322580647</v>
      </c>
      <c r="AA4" s="36">
        <v>3.1437171874999996</v>
      </c>
      <c r="AB4" s="36">
        <v>3.2135031746031744</v>
      </c>
      <c r="AC4" s="36">
        <v>3.3240000000000003</v>
      </c>
      <c r="AD4" s="36">
        <v>3.4504758064516126</v>
      </c>
      <c r="AE4" s="36">
        <v>3.3176609375000008</v>
      </c>
      <c r="AF4" s="36">
        <v>3.3413923076923071</v>
      </c>
      <c r="AG4" s="36">
        <v>3.3939836065573772</v>
      </c>
      <c r="AH4" s="36">
        <v>3.2878553846153857</v>
      </c>
      <c r="AI4" s="36">
        <v>3.2639278688524591</v>
      </c>
      <c r="AJ4" s="36">
        <v>3.2458096774193548</v>
      </c>
      <c r="AK4" s="36">
        <v>3.2464145161290321</v>
      </c>
      <c r="AL4" s="36">
        <v>3.2386934426229512</v>
      </c>
      <c r="AM4" s="36">
        <v>3.2588951612903232</v>
      </c>
      <c r="AN4" s="36">
        <v>3.2926564516129035</v>
      </c>
      <c r="AO4" s="36">
        <v>3.3575126984126982</v>
      </c>
      <c r="AP4" s="36">
        <v>3.3231698412698414</v>
      </c>
      <c r="AQ4" s="36">
        <v>3.3204539682539687</v>
      </c>
      <c r="AR4" s="542">
        <v>3.3403484375000012</v>
      </c>
      <c r="AS4" s="542">
        <v>3.3607343750000003</v>
      </c>
      <c r="AT4" s="542">
        <v>3.3953894736842112</v>
      </c>
      <c r="AU4" s="542">
        <v>3.4328015873015874</v>
      </c>
      <c r="AV4" s="542">
        <v>3.5436681818181817</v>
      </c>
      <c r="AW4" s="542">
        <v>3.601815625</v>
      </c>
      <c r="AX4" s="543">
        <v>3.6617603174603173</v>
      </c>
      <c r="AY4" s="543">
        <v>3.7947612903225814</v>
      </c>
      <c r="AZ4" s="543">
        <v>4.0495761904761904</v>
      </c>
      <c r="BA4" s="543">
        <v>4.0230730158730159</v>
      </c>
      <c r="BB4" s="543">
        <v>3.8033031249999993</v>
      </c>
      <c r="BC4" s="543">
        <v>3.7478112903225802</v>
      </c>
      <c r="BD4" s="543">
        <v>3.8924000000000003</v>
      </c>
      <c r="BE4" s="543">
        <v>3.8939951612903227</v>
      </c>
      <c r="BF4" s="543">
        <v>3.8158515625000002</v>
      </c>
      <c r="BG4" s="543">
        <v>3.6973836065573766</v>
      </c>
      <c r="BH4" s="543">
        <v>3.6777460317460315</v>
      </c>
      <c r="BI4" s="543">
        <v>3.7821435483870971</v>
      </c>
      <c r="BJ4" s="543">
        <v>3.7602278688524602</v>
      </c>
      <c r="BK4" s="543">
        <v>3.7436238095238092</v>
      </c>
      <c r="BL4" s="543">
        <v>3.7567983870967741</v>
      </c>
      <c r="BM4" s="543">
        <v>3.7559290322580638</v>
      </c>
      <c r="BN4" s="543">
        <v>3.6998190476190467</v>
      </c>
      <c r="BO4" s="543">
        <v>3.6524661290322582</v>
      </c>
      <c r="BP4" s="57">
        <v>3.5323920634920638</v>
      </c>
      <c r="BQ4" s="37">
        <v>3.3853645161290329</v>
      </c>
      <c r="BR4" s="37">
        <v>3.3611</v>
      </c>
      <c r="BS4" s="37">
        <v>3.3531107393612052</v>
      </c>
      <c r="BT4" s="37">
        <v>3.3373606056596605</v>
      </c>
      <c r="BU4" s="37">
        <v>3.3321132058226843</v>
      </c>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544"/>
      <c r="CW4" s="50"/>
      <c r="CX4" s="35"/>
      <c r="CY4" s="36">
        <v>2.75431581538008</v>
      </c>
      <c r="CZ4" s="36">
        <v>2.6363311449648492</v>
      </c>
      <c r="DA4" s="36">
        <v>2.6985126606198038</v>
      </c>
      <c r="DB4" s="36">
        <v>2.8389849162038683</v>
      </c>
      <c r="DC4" s="36">
        <v>3.1854623485903097</v>
      </c>
      <c r="DD4" s="36">
        <v>3.3758781645503246</v>
      </c>
      <c r="DE4" s="36">
        <v>3.2610018617540577</v>
      </c>
      <c r="DF4" s="36">
        <v>3.286939438484719</v>
      </c>
      <c r="DG4" s="542">
        <v>3.3361766555059527</v>
      </c>
      <c r="DH4" s="542">
        <v>3.4934187169509952</v>
      </c>
      <c r="DI4" s="542">
        <v>3.8822927035330261</v>
      </c>
      <c r="DJ4" s="542">
        <v>3.8343773941532255</v>
      </c>
      <c r="DK4" s="542">
        <v>3.7432811872976264</v>
      </c>
      <c r="DL4" s="109">
        <v>3.7541447744327767</v>
      </c>
      <c r="DM4" s="37">
        <v>3.5675104390681005</v>
      </c>
      <c r="DN4" s="37">
        <v>3.3459211377108873</v>
      </c>
      <c r="DO4" s="37">
        <v>3.3391337627201203</v>
      </c>
      <c r="DP4" s="37">
        <v>3.3453537177683237</v>
      </c>
      <c r="DQ4" s="37">
        <v>3.3515852590073032</v>
      </c>
      <c r="DR4" s="37">
        <v>3.3578284080191789</v>
      </c>
      <c r="DS4" s="37">
        <v>3.3640831864262726</v>
      </c>
      <c r="DT4" s="37">
        <v>3.3703496158911839</v>
      </c>
      <c r="DU4" s="37">
        <v>3.3766277181168629</v>
      </c>
      <c r="DV4" s="37">
        <v>3.3829175148466879</v>
      </c>
      <c r="DW4" s="37">
        <v>3.3892190278645389</v>
      </c>
      <c r="DX4" s="37">
        <v>3.3955322789948741</v>
      </c>
      <c r="DY4" s="37">
        <v>3.4018572901028055</v>
      </c>
      <c r="DZ4" s="37">
        <v>3.4081940830941724</v>
      </c>
      <c r="EA4" s="37">
        <v>3.4145426799156215</v>
      </c>
      <c r="EB4" s="37">
        <v>3.4209031025546794</v>
      </c>
    </row>
    <row r="5" spans="1:132" s="545" customFormat="1" ht="11.25">
      <c r="A5" s="35" t="s">
        <v>451</v>
      </c>
      <c r="B5" s="36">
        <v>2418.3826984126986</v>
      </c>
      <c r="C5" s="36">
        <v>2228.154461538461</v>
      </c>
      <c r="D5" s="36">
        <v>2013.6042424242421</v>
      </c>
      <c r="E5" s="36">
        <v>1964.8087499999997</v>
      </c>
      <c r="F5" s="36">
        <v>1942.5882539682543</v>
      </c>
      <c r="G5" s="36">
        <v>1949.5679999999995</v>
      </c>
      <c r="H5" s="36">
        <v>1831.7249999999995</v>
      </c>
      <c r="I5" s="36">
        <v>1868.0246969696971</v>
      </c>
      <c r="J5" s="36">
        <v>1877.54203125</v>
      </c>
      <c r="K5" s="36">
        <v>1796.3936507936503</v>
      </c>
      <c r="L5" s="36">
        <v>1796.1931818181818</v>
      </c>
      <c r="M5" s="36">
        <v>1918.9841666666673</v>
      </c>
      <c r="N5" s="36">
        <v>1795.6903225806448</v>
      </c>
      <c r="O5" s="36">
        <v>1785.7196610169494</v>
      </c>
      <c r="P5" s="36">
        <v>1796.4273770491802</v>
      </c>
      <c r="Q5" s="36">
        <v>1805.855081967213</v>
      </c>
      <c r="R5" s="36">
        <v>1788.4047368421054</v>
      </c>
      <c r="S5" s="36">
        <v>1860.2491803278688</v>
      </c>
      <c r="T5" s="36">
        <v>1906.1563492063492</v>
      </c>
      <c r="U5" s="36">
        <v>1913.1642622950819</v>
      </c>
      <c r="V5" s="36">
        <v>2006.2579365079373</v>
      </c>
      <c r="W5" s="36">
        <v>1913.2035384615388</v>
      </c>
      <c r="X5" s="36">
        <v>1911.1348484848486</v>
      </c>
      <c r="Y5" s="36">
        <v>2177.5200000000009</v>
      </c>
      <c r="Z5" s="36">
        <v>2474.2625396825388</v>
      </c>
      <c r="AA5" s="36">
        <v>2499.0376923076924</v>
      </c>
      <c r="AB5" s="36">
        <v>2947.581212121212</v>
      </c>
      <c r="AC5" s="36">
        <v>3062.2818461538454</v>
      </c>
      <c r="AD5" s="36">
        <v>3251.7006249999999</v>
      </c>
      <c r="AE5" s="36">
        <v>2992.0047692307699</v>
      </c>
      <c r="AF5" s="36">
        <v>2947.6774242424235</v>
      </c>
      <c r="AG5" s="36">
        <v>3019.9071428571428</v>
      </c>
      <c r="AH5" s="36">
        <v>2922.1529230769229</v>
      </c>
      <c r="AI5" s="36">
        <v>2925.0843076923084</v>
      </c>
      <c r="AJ5" s="36">
        <v>2974.5890769230764</v>
      </c>
      <c r="AK5" s="36">
        <v>2988.1212698412696</v>
      </c>
      <c r="AL5" s="36">
        <v>2855.7704838709678</v>
      </c>
      <c r="AM5" s="36">
        <v>2842.0556923076924</v>
      </c>
      <c r="AN5" s="36">
        <v>2960.7506153846161</v>
      </c>
      <c r="AO5" s="36">
        <v>3165.4893650793638</v>
      </c>
      <c r="AP5" s="36">
        <v>3134.0034920634903</v>
      </c>
      <c r="AQ5" s="36">
        <v>3242.2910769230771</v>
      </c>
      <c r="AR5" s="542">
        <v>3343.7846969696971</v>
      </c>
      <c r="AS5" s="542">
        <v>3404.0021212121214</v>
      </c>
      <c r="AT5" s="542">
        <v>3551.7089062500013</v>
      </c>
      <c r="AU5" s="542">
        <v>3842.9453125000009</v>
      </c>
      <c r="AV5" s="542">
        <v>3731.5530303030309</v>
      </c>
      <c r="AW5" s="542">
        <v>3655.2124615384614</v>
      </c>
      <c r="AX5" s="543">
        <v>3560.9698412698403</v>
      </c>
      <c r="AY5" s="543">
        <v>3695.2459999999992</v>
      </c>
      <c r="AZ5" s="543">
        <v>3847.7810769230778</v>
      </c>
      <c r="BA5" s="543">
        <v>3886.9743939393948</v>
      </c>
      <c r="BB5" s="543">
        <v>3907.8168749999991</v>
      </c>
      <c r="BC5" s="543">
        <v>3923.7173846153846</v>
      </c>
      <c r="BD5" s="543">
        <v>4388.0369696969719</v>
      </c>
      <c r="BE5" s="543">
        <v>4820.8119047619066</v>
      </c>
      <c r="BF5" s="543">
        <v>4756.8161538461545</v>
      </c>
      <c r="BG5" s="543">
        <v>4406.0674193548384</v>
      </c>
      <c r="BH5" s="543">
        <v>4044.2606153846164</v>
      </c>
      <c r="BI5" s="543">
        <v>4072.6467796610182</v>
      </c>
      <c r="BJ5" s="543">
        <v>3919.6001666666662</v>
      </c>
      <c r="BK5" s="543">
        <v>3928.7760655737693</v>
      </c>
      <c r="BL5" s="543">
        <v>4097.1941269841263</v>
      </c>
      <c r="BM5" s="543">
        <v>4352.0903225806451</v>
      </c>
      <c r="BN5" s="543">
        <v>4183.6350819672134</v>
      </c>
      <c r="BO5" s="543">
        <v>4196.3313333333354</v>
      </c>
      <c r="BP5" s="57">
        <v>4003.5978125000006</v>
      </c>
      <c r="BQ5" s="37">
        <v>3818.866065573769</v>
      </c>
      <c r="BR5" s="37">
        <v>3746.5050000000001</v>
      </c>
      <c r="BS5" s="37">
        <v>3719.0578765935747</v>
      </c>
      <c r="BT5" s="37">
        <v>3721.1690940506996</v>
      </c>
      <c r="BU5" s="37">
        <v>3724.1106364322909</v>
      </c>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544"/>
      <c r="CW5" s="50"/>
      <c r="CX5" s="35"/>
      <c r="CY5" s="36">
        <v>1847.2782576321249</v>
      </c>
      <c r="CZ5" s="36">
        <v>1795.9231106534967</v>
      </c>
      <c r="DA5" s="36">
        <v>1866.9936321678515</v>
      </c>
      <c r="DB5" s="36">
        <v>2002.0290808635814</v>
      </c>
      <c r="DC5" s="36">
        <v>2745.7908225663223</v>
      </c>
      <c r="DD5" s="36">
        <v>3052.822490332584</v>
      </c>
      <c r="DE5" s="36">
        <v>2952.486894383394</v>
      </c>
      <c r="DF5" s="36">
        <v>2956.0165391606597</v>
      </c>
      <c r="DG5" s="542">
        <v>3281.0203467920965</v>
      </c>
      <c r="DH5" s="542">
        <v>3695.3549276478739</v>
      </c>
      <c r="DI5" s="542">
        <v>3747.7428280330778</v>
      </c>
      <c r="DJ5" s="542">
        <v>4260.0957835185654</v>
      </c>
      <c r="DK5" s="542">
        <v>4319.9477420616577</v>
      </c>
      <c r="DL5" s="109">
        <v>4074.4151704513019</v>
      </c>
      <c r="DM5" s="37">
        <v>4050.6075733435796</v>
      </c>
      <c r="DN5" s="37">
        <v>3727.7106517691414</v>
      </c>
      <c r="DO5" s="37">
        <v>3774.3025737095263</v>
      </c>
      <c r="DP5" s="37">
        <v>3866.809989731817</v>
      </c>
      <c r="DQ5" s="37">
        <v>3961.5847443821058</v>
      </c>
      <c r="DR5" s="37">
        <v>4058.6824096855876</v>
      </c>
      <c r="DS5" s="37">
        <v>4158.1599197269006</v>
      </c>
      <c r="DT5" s="37">
        <v>4260.0756040339311</v>
      </c>
      <c r="DU5" s="37">
        <v>4364.4892217798597</v>
      </c>
      <c r="DV5" s="37">
        <v>4471.461996823482</v>
      </c>
      <c r="DW5" s="37">
        <v>4581.0566536083707</v>
      </c>
      <c r="DX5" s="37">
        <v>4693.3374539419083</v>
      </c>
      <c r="DY5" s="37">
        <v>4808.3702346757773</v>
      </c>
      <c r="DZ5" s="37">
        <v>4926.2224463099865</v>
      </c>
      <c r="EA5" s="37">
        <v>5046.9631925430731</v>
      </c>
      <c r="EB5" s="37">
        <v>5170.663270791676</v>
      </c>
    </row>
    <row r="6" spans="1:132" s="548" customFormat="1" ht="11.25">
      <c r="A6" s="76" t="s">
        <v>452</v>
      </c>
      <c r="B6" s="125">
        <v>3.5468158730158721</v>
      </c>
      <c r="C6" s="125">
        <v>3.7285015873015874</v>
      </c>
      <c r="D6" s="125">
        <v>3.8299703125</v>
      </c>
      <c r="E6" s="125">
        <v>3.8138854838709673</v>
      </c>
      <c r="F6" s="125">
        <v>3.8389516129032248</v>
      </c>
      <c r="G6" s="125">
        <v>3.900221666666666</v>
      </c>
      <c r="H6" s="125">
        <v>3.9410406250000003</v>
      </c>
      <c r="I6" s="125">
        <v>3.9677548387096779</v>
      </c>
      <c r="J6" s="125">
        <v>4.0120366666666669</v>
      </c>
      <c r="K6" s="125">
        <v>4.0810934426229526</v>
      </c>
      <c r="L6" s="125">
        <v>4.1662323076923062</v>
      </c>
      <c r="M6" s="125">
        <v>4.2566983333333344</v>
      </c>
      <c r="N6" s="125">
        <v>4.3408852459016405</v>
      </c>
      <c r="O6" s="125">
        <v>4.4511586206896547</v>
      </c>
      <c r="P6" s="125">
        <v>4.6086983870967755</v>
      </c>
      <c r="Q6" s="125">
        <v>4.7986885245901627</v>
      </c>
      <c r="R6" s="125">
        <v>5.0128666666666684</v>
      </c>
      <c r="S6" s="125">
        <v>5.2390499999999998</v>
      </c>
      <c r="T6" s="125">
        <v>5.5843874999999992</v>
      </c>
      <c r="U6" s="125">
        <v>6.0520649999999971</v>
      </c>
      <c r="V6" s="125">
        <v>7.5982216666666664</v>
      </c>
      <c r="W6" s="125">
        <v>8.0574118644067809</v>
      </c>
      <c r="X6" s="125">
        <v>8.2977031249999982</v>
      </c>
      <c r="Y6" s="125">
        <v>8.5110081967213116</v>
      </c>
      <c r="Z6" s="125">
        <v>8.6872440677966107</v>
      </c>
      <c r="AA6" s="125">
        <v>8.9553655737704894</v>
      </c>
      <c r="AB6" s="125">
        <v>9.2494296874999975</v>
      </c>
      <c r="AC6" s="125">
        <v>10.161588333333334</v>
      </c>
      <c r="AD6" s="125">
        <v>14.475106666666667</v>
      </c>
      <c r="AE6" s="125">
        <v>14.230345161290323</v>
      </c>
      <c r="AF6" s="125">
        <v>14.953745312500001</v>
      </c>
      <c r="AG6" s="125">
        <v>15.451003278688519</v>
      </c>
      <c r="AH6" s="125">
        <v>15.679417741935485</v>
      </c>
      <c r="AI6" s="125">
        <v>15.739711475409836</v>
      </c>
      <c r="AJ6" s="125">
        <v>17.285170312499996</v>
      </c>
      <c r="AK6" s="125">
        <v>17.549546666666672</v>
      </c>
      <c r="AL6" s="125">
        <v>19.676355000000001</v>
      </c>
      <c r="AM6" s="125">
        <v>23.585496666666664</v>
      </c>
      <c r="AN6" s="125">
        <v>31.999838095238097</v>
      </c>
      <c r="AO6" s="125">
        <v>37.101193220338978</v>
      </c>
      <c r="AP6" s="125">
        <v>38.999500000000012</v>
      </c>
      <c r="AQ6" s="125">
        <v>44.010389830508466</v>
      </c>
      <c r="AR6" s="546">
        <v>50.524955555555572</v>
      </c>
      <c r="AS6" s="546">
        <v>59.356034920634912</v>
      </c>
      <c r="AT6" s="546">
        <v>61.469491666666649</v>
      </c>
      <c r="AU6" s="546">
        <v>67.704446666666669</v>
      </c>
      <c r="AV6" s="546">
        <v>73.351393650793639</v>
      </c>
      <c r="AW6" s="546">
        <v>79.922541379310317</v>
      </c>
      <c r="AX6" s="546">
        <v>88.652315000000044</v>
      </c>
      <c r="AY6" s="546">
        <v>94.015783870967752</v>
      </c>
      <c r="AZ6" s="546">
        <v>97.259107812500005</v>
      </c>
      <c r="BA6" s="546">
        <v>100.50011333333332</v>
      </c>
      <c r="BB6" s="546">
        <v>106.59145573770493</v>
      </c>
      <c r="BC6" s="546">
        <v>118.03298305084743</v>
      </c>
      <c r="BD6" s="546">
        <v>135.83681538461533</v>
      </c>
      <c r="BE6" s="546">
        <v>162.69438833333328</v>
      </c>
      <c r="BF6" s="546">
        <v>192.43874677419356</v>
      </c>
      <c r="BG6" s="546">
        <v>232.7061448275862</v>
      </c>
      <c r="BH6" s="546">
        <v>312.99490000000003</v>
      </c>
      <c r="BI6" s="546">
        <v>445.28677627118628</v>
      </c>
      <c r="BJ6" s="546">
        <v>833.69707500000015</v>
      </c>
      <c r="BK6" s="546">
        <v>885.61801186440687</v>
      </c>
      <c r="BL6" s="546">
        <v>941.2671184615383</v>
      </c>
      <c r="BM6" s="546">
        <v>999.70919365079408</v>
      </c>
      <c r="BN6" s="546">
        <v>1055.0397583333333</v>
      </c>
      <c r="BO6" s="546">
        <v>1150.968575862069</v>
      </c>
      <c r="BP6" s="126">
        <v>1333.3734749999999</v>
      </c>
      <c r="BQ6" s="127">
        <v>1437.6269416666667</v>
      </c>
      <c r="BR6" s="127">
        <v>1458.9375</v>
      </c>
      <c r="BS6" s="127">
        <v>1564.303294551685</v>
      </c>
      <c r="BT6" s="127">
        <v>1689.2354537536849</v>
      </c>
      <c r="BU6" s="127">
        <v>1737.7471477643785</v>
      </c>
      <c r="BV6" s="127"/>
      <c r="BW6" s="127"/>
      <c r="BX6" s="127"/>
      <c r="BY6" s="127"/>
      <c r="BZ6" s="127"/>
      <c r="CA6" s="127"/>
      <c r="CB6" s="127"/>
      <c r="CC6" s="127"/>
      <c r="CD6" s="127"/>
      <c r="CE6" s="127"/>
      <c r="CF6" s="127"/>
      <c r="CG6" s="127"/>
      <c r="CH6" s="127"/>
      <c r="CI6" s="127"/>
      <c r="CJ6" s="127"/>
      <c r="CK6" s="127"/>
      <c r="CL6" s="127"/>
      <c r="CM6" s="127"/>
      <c r="CN6" s="127"/>
      <c r="CO6" s="127"/>
      <c r="CP6" s="127"/>
      <c r="CQ6" s="127"/>
      <c r="CR6" s="127"/>
      <c r="CS6" s="127"/>
      <c r="CT6" s="127"/>
      <c r="CU6" s="127"/>
      <c r="CV6" s="547"/>
      <c r="CW6" s="128"/>
      <c r="CX6" s="76"/>
      <c r="CY6" s="125">
        <v>4.1290151875788155</v>
      </c>
      <c r="CZ6" s="125">
        <v>4.5498576945695586</v>
      </c>
      <c r="DA6" s="125">
        <v>5.4720922916666659</v>
      </c>
      <c r="DB6" s="125">
        <v>8.1160862131986899</v>
      </c>
      <c r="DC6" s="125">
        <v>9.2634069156001075</v>
      </c>
      <c r="DD6" s="125">
        <v>14.777550104786378</v>
      </c>
      <c r="DE6" s="125">
        <v>16.563461549127997</v>
      </c>
      <c r="DF6" s="546">
        <v>28.090720745560937</v>
      </c>
      <c r="DG6" s="546">
        <v>48.222720076674747</v>
      </c>
      <c r="DH6" s="546">
        <v>70.61196834085932</v>
      </c>
      <c r="DI6" s="546">
        <v>95.10683000420029</v>
      </c>
      <c r="DJ6" s="546">
        <v>130.78891062662524</v>
      </c>
      <c r="DK6" s="546">
        <v>295.85664196824149</v>
      </c>
      <c r="DL6" s="126">
        <v>915.07284974418485</v>
      </c>
      <c r="DM6" s="127">
        <v>1244.2521877155173</v>
      </c>
      <c r="DN6" s="37">
        <v>1612.5558490174371</v>
      </c>
      <c r="DO6" s="127">
        <v>1828.372776227689</v>
      </c>
      <c r="DP6" s="127">
        <v>1953.1729157815216</v>
      </c>
      <c r="DQ6" s="127">
        <v>2068.0654402392584</v>
      </c>
      <c r="DR6" s="127">
        <v>2189.7163484886264</v>
      </c>
      <c r="DS6" s="127">
        <v>2318.5231925173694</v>
      </c>
      <c r="DT6" s="127">
        <v>2454.9069097242736</v>
      </c>
      <c r="DU6" s="127">
        <v>2599.313198531584</v>
      </c>
      <c r="DV6" s="127">
        <v>2752.213974915795</v>
      </c>
      <c r="DW6" s="127">
        <v>2914.1089146167242</v>
      </c>
      <c r="DX6" s="127">
        <v>3085.527086064767</v>
      </c>
      <c r="DY6" s="127">
        <v>3267.0286793626947</v>
      </c>
      <c r="DZ6" s="127">
        <v>3459.2068369722647</v>
      </c>
      <c r="EA6" s="127">
        <v>3662.6895920882807</v>
      </c>
      <c r="EB6" s="127">
        <v>3878.1419210346503</v>
      </c>
    </row>
    <row r="7" spans="1:132" s="545" customFormat="1" ht="11.25">
      <c r="A7" s="35" t="s">
        <v>453</v>
      </c>
      <c r="B7" s="36">
        <v>2.3156936507936505</v>
      </c>
      <c r="C7" s="36">
        <v>2.0763861538461539</v>
      </c>
      <c r="D7" s="36">
        <v>1.8667515151515151</v>
      </c>
      <c r="E7" s="36">
        <v>1.7403045454545456</v>
      </c>
      <c r="F7" s="36">
        <v>1.8005262295081965</v>
      </c>
      <c r="G7" s="36">
        <v>1.7937870967741927</v>
      </c>
      <c r="H7" s="36">
        <v>1.7509539682539674</v>
      </c>
      <c r="I7" s="36">
        <v>1.6974274193548387</v>
      </c>
      <c r="J7" s="36">
        <v>1.667253225806451</v>
      </c>
      <c r="K7" s="36">
        <v>1.5955032258064517</v>
      </c>
      <c r="L7" s="36">
        <v>1.6363061538461536</v>
      </c>
      <c r="M7" s="36">
        <v>1.801885245901639</v>
      </c>
      <c r="N7" s="36">
        <v>1.7688920634920637</v>
      </c>
      <c r="O7" s="36">
        <v>1.9657306451612895</v>
      </c>
      <c r="P7" s="36">
        <v>2.0278078124999999</v>
      </c>
      <c r="Q7" s="36">
        <v>2.0581983870967742</v>
      </c>
      <c r="R7" s="36">
        <v>1.9971566666666676</v>
      </c>
      <c r="S7" s="36">
        <v>2.0685968253968254</v>
      </c>
      <c r="T7" s="36">
        <v>2.2876469696969695</v>
      </c>
      <c r="U7" s="36">
        <v>2.2741507936507936</v>
      </c>
      <c r="V7" s="36">
        <v>2.3640327868852458</v>
      </c>
      <c r="W7" s="36">
        <v>2.2288147540983605</v>
      </c>
      <c r="X7" s="36">
        <v>2.2749106060606055</v>
      </c>
      <c r="Y7" s="36">
        <v>2.5455281249999997</v>
      </c>
      <c r="Z7" s="36">
        <v>2.8724557377049176</v>
      </c>
      <c r="AA7" s="36">
        <v>3.0698672131147551</v>
      </c>
      <c r="AB7" s="36">
        <v>3.5365184615384604</v>
      </c>
      <c r="AC7" s="36">
        <v>3.8447126984126991</v>
      </c>
      <c r="AD7" s="36">
        <v>3.8989491803278686</v>
      </c>
      <c r="AE7" s="36">
        <v>3.5001825396825401</v>
      </c>
      <c r="AF7" s="36">
        <v>3.246526153846153</v>
      </c>
      <c r="AG7" s="36">
        <v>3.2940225806451608</v>
      </c>
      <c r="AH7" s="36">
        <v>3.1442698412698404</v>
      </c>
      <c r="AI7" s="36">
        <v>3.2176426229508204</v>
      </c>
      <c r="AJ7" s="36">
        <v>3.1631156250000001</v>
      </c>
      <c r="AK7" s="36">
        <v>3.2488360655737707</v>
      </c>
      <c r="AL7" s="36">
        <v>3.2426655737704917</v>
      </c>
      <c r="AM7" s="36">
        <v>3.6088714285714296</v>
      </c>
      <c r="AN7" s="36">
        <v>3.9477671875000002</v>
      </c>
      <c r="AO7" s="36">
        <v>3.8127225806451612</v>
      </c>
      <c r="AP7" s="36">
        <v>3.7658704918032782</v>
      </c>
      <c r="AQ7" s="36">
        <v>3.9215967741935489</v>
      </c>
      <c r="AR7" s="542">
        <v>3.9723575757575755</v>
      </c>
      <c r="AS7" s="542">
        <v>4.1152753846153853</v>
      </c>
      <c r="AT7" s="542">
        <v>4.4726370967741937</v>
      </c>
      <c r="AU7" s="542">
        <v>5.3855983606557372</v>
      </c>
      <c r="AV7" s="542">
        <v>5.3801876923076923</v>
      </c>
      <c r="AW7" s="542">
        <v>5.3956412698412715</v>
      </c>
      <c r="AX7" s="543">
        <v>5.4849459016393443</v>
      </c>
      <c r="AY7" s="543">
        <v>5.2936492063492064</v>
      </c>
      <c r="AZ7" s="543">
        <v>5.2323169230769242</v>
      </c>
      <c r="BA7" s="543">
        <v>5.5865206349206353</v>
      </c>
      <c r="BB7" s="543">
        <v>5.2249758064516127</v>
      </c>
      <c r="BC7" s="543">
        <v>4.9274354838709673</v>
      </c>
      <c r="BD7" s="543">
        <v>5.2465599999999979</v>
      </c>
      <c r="BE7" s="543">
        <v>5.2607887096774197</v>
      </c>
      <c r="BF7" s="543">
        <v>5.1923809523809519</v>
      </c>
      <c r="BG7" s="543">
        <v>4.9428049180327891</v>
      </c>
      <c r="BH7" s="543">
        <v>4.8850281250000016</v>
      </c>
      <c r="BI7" s="543">
        <v>4.9576249999999975</v>
      </c>
      <c r="BJ7" s="543">
        <v>4.9515229508196734</v>
      </c>
      <c r="BK7" s="543">
        <v>5.2154888888888902</v>
      </c>
      <c r="BL7" s="543">
        <v>5.546103030303029</v>
      </c>
      <c r="BM7" s="543">
        <v>5.834201612903227</v>
      </c>
      <c r="BN7" s="543">
        <v>5.8486540983606545</v>
      </c>
      <c r="BO7" s="543">
        <v>5.6625196721311477</v>
      </c>
      <c r="BP7" s="57">
        <v>5.4493363636363634</v>
      </c>
      <c r="BQ7" s="37">
        <v>5.397507936507937</v>
      </c>
      <c r="BR7" s="37">
        <v>5.4247999999999994</v>
      </c>
      <c r="BS7" s="37">
        <v>5.369837780723703</v>
      </c>
      <c r="BT7" s="37">
        <v>5.36295945417839</v>
      </c>
      <c r="BU7" s="37">
        <v>5.3853607166101813</v>
      </c>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544"/>
      <c r="CW7" s="50"/>
      <c r="CX7" s="35"/>
      <c r="CY7" s="36">
        <v>1.6752369628401738</v>
      </c>
      <c r="CZ7" s="36">
        <v>1.9551572270625319</v>
      </c>
      <c r="DA7" s="36">
        <v>2.1568878138528138</v>
      </c>
      <c r="DB7" s="36">
        <v>2.3533215680110526</v>
      </c>
      <c r="DC7" s="36">
        <v>3.330888527692708</v>
      </c>
      <c r="DD7" s="36">
        <v>3.4849201136254306</v>
      </c>
      <c r="DE7" s="36">
        <v>3.1934660386986078</v>
      </c>
      <c r="DF7" s="542">
        <v>3.6530066926217706</v>
      </c>
      <c r="DG7" s="542">
        <v>3.9437750565924472</v>
      </c>
      <c r="DH7" s="542">
        <v>5.1585161048947237</v>
      </c>
      <c r="DI7" s="542">
        <v>5.3993581664965271</v>
      </c>
      <c r="DJ7" s="542">
        <v>5.1649399999999996</v>
      </c>
      <c r="DK7" s="542">
        <v>4.9944597488534352</v>
      </c>
      <c r="DL7" s="109">
        <v>5.3868291207287058</v>
      </c>
      <c r="DM7" s="37">
        <v>5.5895045176590248</v>
      </c>
      <c r="DN7" s="37">
        <v>5.3857394878780678</v>
      </c>
      <c r="DO7" s="37">
        <v>5.4630803115731696</v>
      </c>
      <c r="DP7" s="37">
        <v>5.5707351294776997</v>
      </c>
      <c r="DQ7" s="37">
        <v>5.6805113805585838</v>
      </c>
      <c r="DR7" s="37">
        <v>5.7924508695284143</v>
      </c>
      <c r="DS7" s="37">
        <v>5.9065962248985331</v>
      </c>
      <c r="DT7" s="37">
        <v>6.0229909152127101</v>
      </c>
      <c r="DU7" s="37">
        <v>6.1416792656007253</v>
      </c>
      <c r="DV7" s="37">
        <v>6.2627064746581524</v>
      </c>
      <c r="DW7" s="37">
        <v>6.3861186316587686</v>
      </c>
      <c r="DX7" s="37">
        <v>6.5119627341061621</v>
      </c>
      <c r="DY7" s="37">
        <v>6.6402867056311958</v>
      </c>
      <c r="DZ7" s="37">
        <v>6.771139414242163</v>
      </c>
      <c r="EA7" s="37">
        <v>6.9045706909345821</v>
      </c>
      <c r="EB7" s="37">
        <v>7.0406313486677048</v>
      </c>
    </row>
    <row r="8" spans="1:132" s="545" customFormat="1" ht="11.25">
      <c r="A8" s="35" t="s">
        <v>454</v>
      </c>
      <c r="B8" s="36">
        <v>5073.9453125</v>
      </c>
      <c r="C8" s="36">
        <v>5043.2538461538461</v>
      </c>
      <c r="D8" s="36">
        <v>4968.9227272727267</v>
      </c>
      <c r="E8" s="36">
        <v>4790.55303030303</v>
      </c>
      <c r="F8" s="36">
        <v>4685.6888888888889</v>
      </c>
      <c r="G8" s="36">
        <v>4737.84375</v>
      </c>
      <c r="H8" s="36">
        <v>4781.477272727273</v>
      </c>
      <c r="I8" s="36">
        <v>4802.234848484848</v>
      </c>
      <c r="J8" s="36">
        <v>4508.359375</v>
      </c>
      <c r="K8" s="36">
        <v>4027.2692307692309</v>
      </c>
      <c r="L8" s="36">
        <v>3942.2954545454545</v>
      </c>
      <c r="M8" s="36">
        <v>4311</v>
      </c>
      <c r="N8" s="36">
        <v>4450.876923076923</v>
      </c>
      <c r="O8" s="36">
        <v>4407.7307692307695</v>
      </c>
      <c r="P8" s="36">
        <v>4436.0769230769229</v>
      </c>
      <c r="Q8" s="36">
        <v>4408.484848484848</v>
      </c>
      <c r="R8" s="36">
        <v>4089.3203125</v>
      </c>
      <c r="S8" s="36">
        <v>4219.8692307692309</v>
      </c>
      <c r="T8" s="36">
        <v>4457.060606060606</v>
      </c>
      <c r="U8" s="36">
        <v>4467.7303030303028</v>
      </c>
      <c r="V8" s="36">
        <v>4527.7453124999984</v>
      </c>
      <c r="W8" s="36">
        <v>4419.9076923076927</v>
      </c>
      <c r="X8" s="36">
        <v>4292.9742424242413</v>
      </c>
      <c r="Y8" s="36">
        <v>4615.7257575757576</v>
      </c>
      <c r="Z8" s="36">
        <v>4760.0296874999985</v>
      </c>
      <c r="AA8" s="36">
        <v>5052.8492307692313</v>
      </c>
      <c r="AB8" s="36">
        <v>5308.8212121212127</v>
      </c>
      <c r="AC8" s="36">
        <v>5698.0257575757569</v>
      </c>
      <c r="AD8" s="36">
        <v>5791.8030769230763</v>
      </c>
      <c r="AE8" s="36">
        <v>5611.6815384615384</v>
      </c>
      <c r="AF8" s="36">
        <v>5551.5121212121221</v>
      </c>
      <c r="AG8" s="36">
        <v>5737.1846153846154</v>
      </c>
      <c r="AH8" s="36">
        <v>5664.1307692307691</v>
      </c>
      <c r="AI8" s="36">
        <v>5579.7400000000007</v>
      </c>
      <c r="AJ8" s="36">
        <v>5602.0384615384619</v>
      </c>
      <c r="AK8" s="36">
        <v>5641.9076923076909</v>
      </c>
      <c r="AL8" s="36">
        <v>5578.6246153846141</v>
      </c>
      <c r="AM8" s="36">
        <v>5619.5815384615371</v>
      </c>
      <c r="AN8" s="36">
        <v>5782.2723076923103</v>
      </c>
      <c r="AO8" s="36">
        <v>5939.0939393939407</v>
      </c>
      <c r="AP8" s="36">
        <v>6069.1555555555542</v>
      </c>
      <c r="AQ8" s="36">
        <v>6263.8125000000027</v>
      </c>
      <c r="AR8" s="542">
        <v>6177.6307692307701</v>
      </c>
      <c r="AS8" s="542">
        <v>6450.3124999999982</v>
      </c>
      <c r="AT8" s="542">
        <v>6539.9453125</v>
      </c>
      <c r="AU8" s="542">
        <v>6611.1862068965502</v>
      </c>
      <c r="AV8" s="542">
        <v>6943.6515151515132</v>
      </c>
      <c r="AW8" s="542">
        <v>6999.8015384615392</v>
      </c>
      <c r="AX8" s="543">
        <v>6717.3333333333321</v>
      </c>
      <c r="AY8" s="543">
        <v>6632.00634920635</v>
      </c>
      <c r="AZ8" s="543">
        <v>6893.1303030303052</v>
      </c>
      <c r="BA8" s="543">
        <v>6862.7257575757585</v>
      </c>
      <c r="BB8" s="543">
        <v>6975.7703125000016</v>
      </c>
      <c r="BC8" s="543">
        <v>6858.3174603174584</v>
      </c>
      <c r="BD8" s="543">
        <v>6907.8984615384643</v>
      </c>
      <c r="BE8" s="543">
        <v>7201.5630769230766</v>
      </c>
      <c r="BF8" s="543">
        <v>7286.546875</v>
      </c>
      <c r="BG8" s="543">
        <v>7216.1868852459029</v>
      </c>
      <c r="BH8" s="543">
        <v>7276.2063492063489</v>
      </c>
      <c r="BI8" s="543">
        <v>7390.3718750000016</v>
      </c>
      <c r="BJ8" s="543">
        <v>7296.2125000000015</v>
      </c>
      <c r="BK8" s="543">
        <v>7479.004615384617</v>
      </c>
      <c r="BL8" s="543">
        <v>7632.727272727273</v>
      </c>
      <c r="BM8" s="543">
        <v>7829.5151515151501</v>
      </c>
      <c r="BN8" s="543">
        <v>7916.0624999999991</v>
      </c>
      <c r="BO8" s="543">
        <v>7989.0261538461555</v>
      </c>
      <c r="BP8" s="57">
        <v>7354.0553846153798</v>
      </c>
      <c r="BQ8" s="37">
        <v>6933.770312499998</v>
      </c>
      <c r="BR8" s="37">
        <v>6690</v>
      </c>
      <c r="BS8" s="37">
        <v>6774.3342599297584</v>
      </c>
      <c r="BT8" s="37">
        <v>6782.4412196438661</v>
      </c>
      <c r="BU8" s="37">
        <v>6841.004279267574</v>
      </c>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544"/>
      <c r="CW8" s="50"/>
      <c r="CX8" s="35"/>
      <c r="CY8" s="36">
        <v>4197.2310150786707</v>
      </c>
      <c r="CZ8" s="36">
        <v>4425.7923659673661</v>
      </c>
      <c r="DA8" s="36">
        <v>4308.4951130900354</v>
      </c>
      <c r="DB8" s="36">
        <v>4464.0882512019225</v>
      </c>
      <c r="DC8" s="36">
        <v>5204.9314719915501</v>
      </c>
      <c r="DD8" s="36">
        <v>5673.0453379953387</v>
      </c>
      <c r="DE8" s="36">
        <v>5621.95423076923</v>
      </c>
      <c r="DF8" s="542">
        <v>5729.893100233101</v>
      </c>
      <c r="DG8" s="542">
        <v>6240.227831196582</v>
      </c>
      <c r="DH8" s="542">
        <v>6773.6461432524002</v>
      </c>
      <c r="DI8" s="542">
        <v>6776.2989357864362</v>
      </c>
      <c r="DJ8" s="542">
        <v>6985.8873278197507</v>
      </c>
      <c r="DK8" s="542">
        <v>7292.3279961130629</v>
      </c>
      <c r="DL8" s="109">
        <v>7559.3648849067595</v>
      </c>
      <c r="DM8" s="37">
        <v>7548.2285877403829</v>
      </c>
      <c r="DN8" s="37">
        <v>6771.9449397102999</v>
      </c>
      <c r="DO8" s="37">
        <v>6982.6711970554161</v>
      </c>
      <c r="DP8" s="37">
        <v>7181.824412897513</v>
      </c>
      <c r="DQ8" s="37">
        <v>7386.6576904611156</v>
      </c>
      <c r="DR8" s="37">
        <v>7597.3330311531481</v>
      </c>
      <c r="DS8" s="37">
        <v>7814.0170568331177</v>
      </c>
      <c r="DT8" s="37">
        <v>8036.8811415933405</v>
      </c>
      <c r="DU8" s="37">
        <v>8266.101547297676</v>
      </c>
      <c r="DV8" s="37">
        <v>8501.859562985981</v>
      </c>
      <c r="DW8" s="37">
        <v>8744.3416482545181</v>
      </c>
      <c r="DX8" s="37">
        <v>8993.7395807257271</v>
      </c>
      <c r="DY8" s="37">
        <v>9250.2506077239923</v>
      </c>
      <c r="DZ8" s="37">
        <v>9514.077602277368</v>
      </c>
      <c r="EA8" s="37">
        <v>9785.4292235686335</v>
      </c>
      <c r="EB8" s="37">
        <v>10064.520081962588</v>
      </c>
    </row>
    <row r="9" spans="1:132" s="545" customFormat="1" ht="11.25">
      <c r="A9" s="35" t="s">
        <v>455</v>
      </c>
      <c r="B9" s="36">
        <v>14.371276562499999</v>
      </c>
      <c r="C9" s="36">
        <v>13.316355384615385</v>
      </c>
      <c r="D9" s="36">
        <v>13.267963636363639</v>
      </c>
      <c r="E9" s="36">
        <v>13.06630606060606</v>
      </c>
      <c r="F9" s="36">
        <v>12.765021875000006</v>
      </c>
      <c r="G9" s="36">
        <v>12.564427692307682</v>
      </c>
      <c r="H9" s="36">
        <v>12.798624242424246</v>
      </c>
      <c r="I9" s="36">
        <v>12.38590303030303</v>
      </c>
      <c r="J9" s="36">
        <v>12.0612609375</v>
      </c>
      <c r="K9" s="36">
        <v>11.722303076923074</v>
      </c>
      <c r="L9" s="36">
        <v>12.331148484848486</v>
      </c>
      <c r="M9" s="36">
        <v>13.648676923076922</v>
      </c>
      <c r="N9" s="36">
        <v>12.976944615384612</v>
      </c>
      <c r="O9" s="36">
        <v>13.536627692307695</v>
      </c>
      <c r="P9" s="36">
        <v>13.161550769230772</v>
      </c>
      <c r="Q9" s="36">
        <v>12.945545454545453</v>
      </c>
      <c r="R9" s="36">
        <v>12.639729687499997</v>
      </c>
      <c r="S9" s="36">
        <v>12.474510769230768</v>
      </c>
      <c r="T9" s="36">
        <v>12.91348787878788</v>
      </c>
      <c r="U9" s="36">
        <v>13.024081818181822</v>
      </c>
      <c r="V9" s="36">
        <v>13.229828124999999</v>
      </c>
      <c r="W9" s="36">
        <v>12.996499999999999</v>
      </c>
      <c r="X9" s="36">
        <v>13.118110606060604</v>
      </c>
      <c r="Y9" s="36">
        <v>13.895884848484842</v>
      </c>
      <c r="Z9" s="36">
        <v>14.956190625000005</v>
      </c>
      <c r="AA9" s="36">
        <v>15.320639999999999</v>
      </c>
      <c r="AB9" s="36">
        <v>16.437999999999999</v>
      </c>
      <c r="AC9" s="36">
        <v>16.770199999999999</v>
      </c>
      <c r="AD9" s="36">
        <v>18.027200000000001</v>
      </c>
      <c r="AE9" s="36">
        <v>18.107299999999999</v>
      </c>
      <c r="AF9" s="36">
        <v>18.762599999999999</v>
      </c>
      <c r="AG9" s="36">
        <v>19.845099999999999</v>
      </c>
      <c r="AH9" s="36">
        <v>20.299420000000001</v>
      </c>
      <c r="AI9" s="36">
        <v>18.548847692307703</v>
      </c>
      <c r="AJ9" s="36">
        <v>17.818892307692316</v>
      </c>
      <c r="AK9" s="36">
        <v>18.986401538461543</v>
      </c>
      <c r="AL9" s="36">
        <v>18.718332812499995</v>
      </c>
      <c r="AM9" s="36">
        <v>19.415461538461535</v>
      </c>
      <c r="AN9" s="36">
        <v>18.942153846153847</v>
      </c>
      <c r="AO9" s="36">
        <v>19.837280303030305</v>
      </c>
      <c r="AP9" s="36">
        <v>19.200492187500004</v>
      </c>
      <c r="AQ9" s="36">
        <v>19.107399999999998</v>
      </c>
      <c r="AR9" s="542">
        <v>19.437525757575759</v>
      </c>
      <c r="AS9" s="542">
        <v>19.244784848484844</v>
      </c>
      <c r="AT9" s="542">
        <v>20.000129230769225</v>
      </c>
      <c r="AU9" s="542">
        <v>23.316533846153849</v>
      </c>
      <c r="AV9" s="542">
        <v>22.082651515151515</v>
      </c>
      <c r="AW9" s="542">
        <v>20.534918181818181</v>
      </c>
      <c r="AX9" s="543">
        <v>20.340296875000007</v>
      </c>
      <c r="AY9" s="543">
        <v>20.020470769230773</v>
      </c>
      <c r="AZ9" s="543">
        <v>20.033242424242431</v>
      </c>
      <c r="BA9" s="543">
        <v>20.748074242424238</v>
      </c>
      <c r="BB9" s="543">
        <v>20.501793749999983</v>
      </c>
      <c r="BC9" s="543">
        <v>20.030058461538459</v>
      </c>
      <c r="BD9" s="543">
        <v>20.23374545454546</v>
      </c>
      <c r="BE9" s="543">
        <v>19.670035384615385</v>
      </c>
      <c r="BF9" s="543">
        <v>18.651975384615387</v>
      </c>
      <c r="BG9" s="543">
        <v>17.673632307692309</v>
      </c>
      <c r="BH9" s="543">
        <v>17.070366153846152</v>
      </c>
      <c r="BI9" s="543">
        <v>17.553212307692313</v>
      </c>
      <c r="BJ9" s="543">
        <v>16.977137500000001</v>
      </c>
      <c r="BK9" s="543">
        <v>17.246687692307688</v>
      </c>
      <c r="BL9" s="543">
        <v>18.947240909090912</v>
      </c>
      <c r="BM9" s="543">
        <v>20.084412121212114</v>
      </c>
      <c r="BN9" s="543">
        <v>20.418701562499997</v>
      </c>
      <c r="BO9" s="543">
        <v>19.49283384615384</v>
      </c>
      <c r="BP9" s="57">
        <v>18.628316666666667</v>
      </c>
      <c r="BQ9" s="37">
        <v>18.301781818181823</v>
      </c>
      <c r="BR9" s="37">
        <v>17.9651</v>
      </c>
      <c r="BS9" s="37">
        <v>17.935332365899278</v>
      </c>
      <c r="BT9" s="37">
        <v>17.935823457453608</v>
      </c>
      <c r="BU9" s="37">
        <v>18.032351621902681</v>
      </c>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544"/>
      <c r="CW9" s="50"/>
      <c r="CX9" s="35"/>
      <c r="CY9" s="36">
        <v>12.44084735558712</v>
      </c>
      <c r="CZ9" s="36">
        <v>13.155167132867133</v>
      </c>
      <c r="DA9" s="36">
        <v>12.762952538425116</v>
      </c>
      <c r="DB9" s="36">
        <v>13.310080894886362</v>
      </c>
      <c r="DC9" s="36">
        <v>15.871257656250002</v>
      </c>
      <c r="DD9" s="36">
        <v>18.685549999999999</v>
      </c>
      <c r="DE9" s="36">
        <v>18.91339038461539</v>
      </c>
      <c r="DF9" s="542">
        <v>19.228307125036423</v>
      </c>
      <c r="DG9" s="542">
        <v>19.24755069839015</v>
      </c>
      <c r="DH9" s="542">
        <v>21.483558193473193</v>
      </c>
      <c r="DI9" s="542">
        <v>20.285521077724361</v>
      </c>
      <c r="DJ9" s="542">
        <v>20.108908262674824</v>
      </c>
      <c r="DK9" s="542">
        <v>17.737296538461543</v>
      </c>
      <c r="DL9" s="109">
        <v>18.313869555652676</v>
      </c>
      <c r="DM9" s="37">
        <v>19.21040847337558</v>
      </c>
      <c r="DN9" s="37">
        <v>17.967151861313891</v>
      </c>
      <c r="DO9" s="37">
        <v>18.274914597907703</v>
      </c>
      <c r="DP9" s="37">
        <v>18.543663341994577</v>
      </c>
      <c r="DQ9" s="37">
        <v>18.816364273494493</v>
      </c>
      <c r="DR9" s="37">
        <v>19.093075512810589</v>
      </c>
      <c r="DS9" s="37">
        <v>19.373856035057806</v>
      </c>
      <c r="DT9" s="37">
        <v>19.658765682632179</v>
      </c>
      <c r="DU9" s="37">
        <v>19.947865177965006</v>
      </c>
      <c r="DV9" s="37">
        <v>20.241216136464487</v>
      </c>
      <c r="DW9" s="37">
        <v>20.538881079647787</v>
      </c>
      <c r="DX9" s="37">
        <v>20.840923448466135</v>
      </c>
      <c r="DY9" s="37">
        <v>21.14740761682593</v>
      </c>
      <c r="DZ9" s="37">
        <v>21.458398905308663</v>
      </c>
      <c r="EA9" s="37">
        <v>21.77396359509261</v>
      </c>
      <c r="EB9" s="37">
        <v>22.094168942079264</v>
      </c>
    </row>
    <row r="10" spans="1:132" s="545" customFormat="1" ht="11.25">
      <c r="A10" s="35" t="s">
        <v>456</v>
      </c>
      <c r="B10" s="36">
        <v>23.495523809523824</v>
      </c>
      <c r="C10" s="36">
        <v>23.673085937500005</v>
      </c>
      <c r="D10" s="36">
        <v>22.702439393939393</v>
      </c>
      <c r="E10" s="36">
        <v>20.257159090909084</v>
      </c>
      <c r="F10" s="36">
        <v>19.605015625</v>
      </c>
      <c r="G10" s="36">
        <v>19.624207692307689</v>
      </c>
      <c r="H10" s="36">
        <v>20.809924242424238</v>
      </c>
      <c r="I10" s="36">
        <v>19.999621212121212</v>
      </c>
      <c r="J10" s="36">
        <v>19.575624999999995</v>
      </c>
      <c r="K10" s="36">
        <v>18.74338461538461</v>
      </c>
      <c r="L10" s="36">
        <v>18.853722727272725</v>
      </c>
      <c r="M10" s="36">
        <v>19.854821875000006</v>
      </c>
      <c r="N10" s="36">
        <v>19.517257812500006</v>
      </c>
      <c r="O10" s="36">
        <v>20.359040625000002</v>
      </c>
      <c r="P10" s="36">
        <v>21.409040000000005</v>
      </c>
      <c r="Q10" s="36">
        <v>19.714643076923082</v>
      </c>
      <c r="R10" s="36">
        <v>19.122619354838712</v>
      </c>
      <c r="S10" s="36">
        <v>19.592550000000003</v>
      </c>
      <c r="T10" s="36">
        <v>21.648174242424247</v>
      </c>
      <c r="U10" s="36">
        <v>21.430035937499998</v>
      </c>
      <c r="V10" s="36">
        <v>22.174515</v>
      </c>
      <c r="W10" s="36">
        <v>22.90177540983607</v>
      </c>
      <c r="X10" s="36">
        <v>23.639126562499996</v>
      </c>
      <c r="Y10" s="36">
        <v>24.110484375000002</v>
      </c>
      <c r="Z10" s="36">
        <v>24.764262295081974</v>
      </c>
      <c r="AA10" s="36">
        <v>26.574550000000002</v>
      </c>
      <c r="AB10" s="36">
        <v>28.299246153846148</v>
      </c>
      <c r="AC10" s="36">
        <v>29.490580645161295</v>
      </c>
      <c r="AD10" s="36">
        <v>31.526966101694914</v>
      </c>
      <c r="AE10" s="36">
        <v>31.197377777777781</v>
      </c>
      <c r="AF10" s="36">
        <v>29.176921874999998</v>
      </c>
      <c r="AG10" s="36">
        <v>28.522730158730159</v>
      </c>
      <c r="AH10" s="36">
        <v>28.453451612903216</v>
      </c>
      <c r="AI10" s="36">
        <v>28.285427118644073</v>
      </c>
      <c r="AJ10" s="36">
        <v>28.721587301587306</v>
      </c>
      <c r="AK10" s="36">
        <v>29.13217741935485</v>
      </c>
      <c r="AL10" s="36">
        <v>28.45654166666667</v>
      </c>
      <c r="AM10" s="36">
        <v>30.098565573770486</v>
      </c>
      <c r="AN10" s="36">
        <v>31.780156249999994</v>
      </c>
      <c r="AO10" s="36">
        <v>32.558951612903236</v>
      </c>
      <c r="AP10" s="36">
        <v>32.819000000000017</v>
      </c>
      <c r="AQ10" s="36">
        <v>34.876874999999998</v>
      </c>
      <c r="AR10" s="542">
        <v>35.811346153846152</v>
      </c>
      <c r="AS10" s="542">
        <v>37.507187500000008</v>
      </c>
      <c r="AT10" s="542">
        <v>39.696822033898314</v>
      </c>
      <c r="AU10" s="542">
        <v>43.128541666666663</v>
      </c>
      <c r="AV10" s="542">
        <v>42.739218750000013</v>
      </c>
      <c r="AW10" s="542">
        <v>42.613624999999992</v>
      </c>
      <c r="AX10" s="543">
        <v>43.178624999999982</v>
      </c>
      <c r="AY10" s="543">
        <v>43.88737704918033</v>
      </c>
      <c r="AZ10" s="543">
        <v>43.249499999999983</v>
      </c>
      <c r="BA10" s="543">
        <v>43.984153225806445</v>
      </c>
      <c r="BB10" s="543">
        <v>43.253541666666656</v>
      </c>
      <c r="BC10" s="543">
        <v>40.498975409836071</v>
      </c>
      <c r="BD10" s="543">
        <v>40.830351562499999</v>
      </c>
      <c r="BE10" s="543">
        <v>39.928531746031737</v>
      </c>
      <c r="BF10" s="543">
        <v>39.19197580645163</v>
      </c>
      <c r="BG10" s="543">
        <v>38.613432203389834</v>
      </c>
      <c r="BH10" s="543">
        <v>37.97765873015873</v>
      </c>
      <c r="BI10" s="543">
        <v>39.540483870967741</v>
      </c>
      <c r="BJ10" s="543">
        <v>38.896250000000009</v>
      </c>
      <c r="BK10" s="543">
        <v>38.753024193548377</v>
      </c>
      <c r="BL10" s="543">
        <v>40.536500000000011</v>
      </c>
      <c r="BM10" s="543">
        <v>42.63429687499999</v>
      </c>
      <c r="BN10" s="543">
        <v>43.050791666666683</v>
      </c>
      <c r="BO10" s="543">
        <v>41.621352459016421</v>
      </c>
      <c r="BP10" s="57">
        <v>40.091388888888886</v>
      </c>
      <c r="BQ10" s="37">
        <v>39.609023437499999</v>
      </c>
      <c r="BR10" s="37">
        <v>38.837500000000006</v>
      </c>
      <c r="BS10" s="37">
        <v>38.880146606698347</v>
      </c>
      <c r="BT10" s="37">
        <v>39.241603240198188</v>
      </c>
      <c r="BU10" s="37">
        <v>39.599881450953305</v>
      </c>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544"/>
      <c r="CW10" s="50"/>
      <c r="CX10" s="35"/>
      <c r="CY10" s="36">
        <v>19.256888554414331</v>
      </c>
      <c r="CZ10" s="36">
        <v>20.249995378605774</v>
      </c>
      <c r="DA10" s="36">
        <v>20.448344883690741</v>
      </c>
      <c r="DB10" s="36">
        <v>23.206475336834018</v>
      </c>
      <c r="DC10" s="36">
        <v>27.282159773522352</v>
      </c>
      <c r="DD10" s="36">
        <v>30.105998978300711</v>
      </c>
      <c r="DE10" s="36">
        <v>28.64816086312236</v>
      </c>
      <c r="DF10" s="542">
        <v>30.723553775835093</v>
      </c>
      <c r="DG10" s="542">
        <v>35.253602163461544</v>
      </c>
      <c r="DH10" s="542">
        <v>42.044551862641242</v>
      </c>
      <c r="DI10" s="542">
        <v>43.57491381874668</v>
      </c>
      <c r="DJ10" s="542">
        <v>41.127850096258612</v>
      </c>
      <c r="DK10" s="542">
        <v>38.830887652741986</v>
      </c>
      <c r="DL10" s="109">
        <v>40.2050177671371</v>
      </c>
      <c r="DM10" s="37">
        <v>41.093139113017997</v>
      </c>
      <c r="DN10" s="37">
        <v>39.139782824462458</v>
      </c>
      <c r="DO10" s="37">
        <v>40.896702983424518</v>
      </c>
      <c r="DP10" s="37">
        <v>43.252353237886581</v>
      </c>
      <c r="DQ10" s="37">
        <v>45.743688956372395</v>
      </c>
      <c r="DR10" s="37">
        <v>48.37852562214924</v>
      </c>
      <c r="DS10" s="37">
        <v>51.165128890351681</v>
      </c>
      <c r="DT10" s="37">
        <v>54.11224051788291</v>
      </c>
      <c r="DU10" s="37">
        <v>57.229105786878478</v>
      </c>
      <c r="DV10" s="37">
        <v>60.525502507761722</v>
      </c>
      <c r="DW10" s="37">
        <v>64.011771692875243</v>
      </c>
      <c r="DX10" s="37">
        <v>67.698849996913708</v>
      </c>
      <c r="DY10" s="37">
        <v>71.598304025925643</v>
      </c>
      <c r="DZ10" s="37">
        <v>75.722366622513988</v>
      </c>
      <c r="EA10" s="37">
        <v>80.083975241064252</v>
      </c>
      <c r="EB10" s="37">
        <v>84.696812533386009</v>
      </c>
    </row>
    <row r="11" spans="1:132" s="545" customFormat="1" ht="11.25">
      <c r="A11" s="38" t="s">
        <v>457</v>
      </c>
      <c r="B11" s="36">
        <v>1.3063171874999997</v>
      </c>
      <c r="C11" s="36">
        <v>1.3630323076923077</v>
      </c>
      <c r="D11" s="36">
        <v>1.4302454545454544</v>
      </c>
      <c r="E11" s="36">
        <v>1.4766257575757575</v>
      </c>
      <c r="F11" s="36">
        <v>1.3836546875</v>
      </c>
      <c r="G11" s="36">
        <v>1.2727784615384612</v>
      </c>
      <c r="H11" s="36">
        <v>1.2931257575757582</v>
      </c>
      <c r="I11" s="36">
        <v>1.3579106060606059</v>
      </c>
      <c r="J11" s="36">
        <v>1.3695734375000002</v>
      </c>
      <c r="K11" s="36">
        <v>1.4398492307692305</v>
      </c>
      <c r="L11" s="36">
        <v>1.4129030303030308</v>
      </c>
      <c r="M11" s="36">
        <v>1.3473184615384617</v>
      </c>
      <c r="N11" s="36">
        <v>1.3118923076923079</v>
      </c>
      <c r="O11" s="36">
        <v>1.2832123076923077</v>
      </c>
      <c r="P11" s="36">
        <v>1.2510923076923082</v>
      </c>
      <c r="Q11" s="36">
        <v>1.2976075757575758</v>
      </c>
      <c r="R11" s="36">
        <v>1.3200328124999998</v>
      </c>
      <c r="S11" s="36">
        <v>1.3062153846153846</v>
      </c>
      <c r="T11" s="36">
        <v>1.325430303030303</v>
      </c>
      <c r="U11" s="36">
        <v>1.3615318181818181</v>
      </c>
      <c r="V11" s="36">
        <v>1.3703984375</v>
      </c>
      <c r="W11" s="36">
        <v>1.3716461538461537</v>
      </c>
      <c r="X11" s="36">
        <v>1.3252287878787878</v>
      </c>
      <c r="Y11" s="36">
        <v>1.2488378787878787</v>
      </c>
      <c r="Z11" s="36">
        <v>1.1268124999999998</v>
      </c>
      <c r="AA11" s="36">
        <v>1.1068600000000002</v>
      </c>
      <c r="AB11" s="36">
        <v>1.1124636363636364</v>
      </c>
      <c r="AC11" s="36">
        <v>1.0951909090909091</v>
      </c>
      <c r="AD11" s="36">
        <v>1.1040630769230766</v>
      </c>
      <c r="AE11" s="36">
        <v>1.1292492307692306</v>
      </c>
      <c r="AF11" s="36">
        <v>1.1162969696969698</v>
      </c>
      <c r="AG11" s="36">
        <v>1.0779092307692313</v>
      </c>
      <c r="AH11" s="36">
        <v>1.0654061538461539</v>
      </c>
      <c r="AI11" s="36">
        <v>1.1013369230769225</v>
      </c>
      <c r="AJ11" s="36">
        <v>1.1754107692307691</v>
      </c>
      <c r="AK11" s="36">
        <v>1.1777707692307691</v>
      </c>
      <c r="AL11" s="36">
        <v>1.2287753846153846</v>
      </c>
      <c r="AM11" s="36">
        <v>1.1916123076923075</v>
      </c>
      <c r="AN11" s="36">
        <v>1.1629076923076924</v>
      </c>
      <c r="AO11" s="36">
        <v>1.1407712121212121</v>
      </c>
      <c r="AP11" s="36">
        <v>1.1357218749999998</v>
      </c>
      <c r="AQ11" s="36">
        <v>1.1234261538461541</v>
      </c>
      <c r="AR11" s="36">
        <v>1.1117424242424241</v>
      </c>
      <c r="AS11" s="542">
        <v>1.1072818181818187</v>
      </c>
      <c r="AT11" s="542">
        <v>1.1029046153846152</v>
      </c>
      <c r="AU11" s="542">
        <v>1.1013476923076917</v>
      </c>
      <c r="AV11" s="542">
        <v>1.1691090909090909</v>
      </c>
      <c r="AW11" s="542">
        <v>1.1930454545454545</v>
      </c>
      <c r="AX11" s="543">
        <v>1.2050578125000002</v>
      </c>
      <c r="AY11" s="543">
        <v>1.2051676923076926</v>
      </c>
      <c r="AZ11" s="543">
        <v>1.1785893939393939</v>
      </c>
      <c r="BA11" s="543">
        <v>1.1433469696969698</v>
      </c>
      <c r="BB11" s="543">
        <v>1.1217499999999994</v>
      </c>
      <c r="BC11" s="543">
        <v>1.0646569230769236</v>
      </c>
      <c r="BD11" s="543">
        <v>1.0066984848484848</v>
      </c>
      <c r="BE11" s="543">
        <v>1.0220353846153847</v>
      </c>
      <c r="BF11" s="543">
        <v>1.0732015384615388</v>
      </c>
      <c r="BG11" s="543">
        <v>1.088833846153846</v>
      </c>
      <c r="BH11" s="543">
        <v>1.0879523076923079</v>
      </c>
      <c r="BI11" s="543">
        <v>1.0764246153846155</v>
      </c>
      <c r="BJ11" s="543">
        <v>1.0858799999999997</v>
      </c>
      <c r="BK11" s="543">
        <v>1.0766646153846156</v>
      </c>
      <c r="BL11" s="543">
        <v>1.0987242424242423</v>
      </c>
      <c r="BM11" s="543">
        <v>1.0665742424242421</v>
      </c>
      <c r="BN11" s="543">
        <v>1.0526828124999998</v>
      </c>
      <c r="BO11" s="543">
        <v>1.1340923076923077</v>
      </c>
      <c r="BP11" s="57">
        <v>1.1685606060606057</v>
      </c>
      <c r="BQ11" s="37">
        <v>1.1641166666666667</v>
      </c>
      <c r="BR11" s="37">
        <v>1.1711</v>
      </c>
      <c r="BS11" s="37">
        <v>1.1676</v>
      </c>
      <c r="BT11" s="37">
        <v>1.1676</v>
      </c>
      <c r="BU11" s="37">
        <v>1.1676</v>
      </c>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544"/>
      <c r="CW11" s="50"/>
      <c r="CX11" s="35"/>
      <c r="CY11" s="36">
        <v>1.3924110400276808</v>
      </c>
      <c r="CZ11" s="36">
        <v>1.2859511247086248</v>
      </c>
      <c r="DA11" s="36">
        <v>1.3283025795818764</v>
      </c>
      <c r="DB11" s="36">
        <v>1.3290278145032051</v>
      </c>
      <c r="DC11" s="36">
        <v>1.1103317613636363</v>
      </c>
      <c r="DD11" s="36">
        <v>1.1068796270396271</v>
      </c>
      <c r="DE11" s="36">
        <v>1.1299811538461535</v>
      </c>
      <c r="DF11" s="542">
        <v>1.1810166491841492</v>
      </c>
      <c r="DG11" s="542">
        <v>1.119543067817599</v>
      </c>
      <c r="DH11" s="542">
        <v>1.1416017132867129</v>
      </c>
      <c r="DI11" s="542">
        <v>1.1830404671110142</v>
      </c>
      <c r="DJ11" s="542">
        <v>1.0537851981351982</v>
      </c>
      <c r="DK11" s="542">
        <v>1.0816030769230771</v>
      </c>
      <c r="DL11" s="109">
        <v>1.0819607750582749</v>
      </c>
      <c r="DM11" s="37">
        <v>1.1298630982298949</v>
      </c>
      <c r="DN11" s="37">
        <v>1.1684750000000002</v>
      </c>
      <c r="DO11" s="37">
        <v>1.1670276470588234</v>
      </c>
      <c r="DP11" s="37">
        <v>1.1658835023068053</v>
      </c>
      <c r="DQ11" s="37">
        <v>1.164740479265328</v>
      </c>
      <c r="DR11" s="37">
        <v>1.1635985768346759</v>
      </c>
      <c r="DS11" s="37">
        <v>1.1624577939162106</v>
      </c>
      <c r="DT11" s="37">
        <v>1.1613181294123716</v>
      </c>
      <c r="DU11" s="37">
        <v>1.1601795822266734</v>
      </c>
      <c r="DV11" s="37">
        <v>1.1590421512637061</v>
      </c>
      <c r="DW11" s="37">
        <v>1.1579058354291338</v>
      </c>
      <c r="DX11" s="37">
        <v>1.1567706336296937</v>
      </c>
      <c r="DY11" s="37">
        <v>1.155636544773194</v>
      </c>
      <c r="DZ11" s="37">
        <v>1.1545035677685145</v>
      </c>
      <c r="EA11" s="37">
        <v>1.1533717015256044</v>
      </c>
      <c r="EB11" s="37">
        <v>1.1522409449554813</v>
      </c>
    </row>
    <row r="12" spans="1:132" s="545" customFormat="1" ht="11.25">
      <c r="A12" s="35"/>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542"/>
      <c r="AT12" s="542"/>
      <c r="AU12" s="542"/>
      <c r="AV12" s="542"/>
      <c r="AW12" s="542"/>
      <c r="AX12" s="543"/>
      <c r="AY12" s="543"/>
      <c r="AZ12" s="543"/>
      <c r="BA12" s="543"/>
      <c r="BB12" s="543"/>
      <c r="BC12" s="543"/>
      <c r="BD12" s="543"/>
      <c r="BE12" s="543"/>
      <c r="BF12" s="543"/>
      <c r="BG12" s="543"/>
      <c r="BH12" s="543"/>
      <c r="BI12" s="543"/>
      <c r="BJ12" s="543"/>
      <c r="BK12" s="543"/>
      <c r="BL12" s="543"/>
      <c r="BM12" s="543"/>
      <c r="BN12" s="543"/>
      <c r="BO12" s="543"/>
      <c r="BP12" s="5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544"/>
      <c r="CW12" s="50"/>
      <c r="CX12" s="35"/>
      <c r="CY12" s="36"/>
      <c r="CZ12" s="36"/>
      <c r="DA12" s="36"/>
      <c r="DB12" s="36"/>
      <c r="DC12" s="36"/>
      <c r="DD12" s="36"/>
      <c r="DE12" s="36"/>
      <c r="DF12" s="542"/>
      <c r="DG12" s="542"/>
      <c r="DH12" s="542"/>
      <c r="DI12" s="542"/>
      <c r="DJ12" s="542"/>
      <c r="DK12" s="542"/>
      <c r="DL12" s="109"/>
      <c r="DM12" s="37"/>
      <c r="DN12" s="37"/>
      <c r="DO12" s="37"/>
      <c r="DP12" s="37"/>
      <c r="DQ12" s="37"/>
      <c r="DR12" s="37"/>
      <c r="DS12" s="37"/>
      <c r="DT12" s="37"/>
      <c r="DU12" s="37"/>
      <c r="DV12" s="37"/>
      <c r="DW12" s="37"/>
      <c r="DX12" s="37"/>
      <c r="DY12" s="37"/>
      <c r="DZ12" s="37"/>
      <c r="EA12" s="37"/>
      <c r="EB12" s="37"/>
    </row>
    <row r="13" spans="1:132" s="545" customFormat="1" ht="11.2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549"/>
      <c r="BE13" s="549"/>
      <c r="BF13" s="549"/>
      <c r="BG13" s="549"/>
      <c r="BH13" s="550"/>
      <c r="BI13" s="550"/>
      <c r="BJ13" s="550"/>
      <c r="BK13" s="550"/>
      <c r="BL13" s="550"/>
      <c r="BM13" s="550"/>
      <c r="BN13" s="550"/>
      <c r="BO13" s="550"/>
      <c r="BP13" s="618"/>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5"/>
      <c r="CY13" s="36"/>
      <c r="CZ13" s="36"/>
      <c r="DA13" s="36"/>
      <c r="DB13" s="36"/>
      <c r="DC13" s="36"/>
      <c r="DD13" s="36"/>
      <c r="DE13" s="40"/>
      <c r="DF13" s="542"/>
      <c r="DG13" s="542"/>
      <c r="DH13" s="542"/>
      <c r="DI13" s="542"/>
      <c r="DJ13" s="542"/>
      <c r="DK13" s="542"/>
      <c r="DL13" s="109"/>
      <c r="DM13" s="39"/>
      <c r="DN13" s="39"/>
      <c r="DO13" s="39"/>
      <c r="DP13" s="39"/>
      <c r="DQ13" s="39"/>
      <c r="DR13" s="39"/>
      <c r="DS13" s="39"/>
      <c r="DT13" s="39"/>
      <c r="DU13" s="39"/>
      <c r="DV13" s="39"/>
      <c r="DW13" s="39"/>
      <c r="DX13" s="39"/>
      <c r="DY13" s="39"/>
      <c r="DZ13" s="39"/>
      <c r="EA13" s="39"/>
      <c r="EB13" s="39"/>
    </row>
    <row r="14" spans="1:132" s="545" customFormat="1" ht="11.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40"/>
      <c r="AL14" s="90"/>
      <c r="AM14" s="90"/>
      <c r="AN14" s="90"/>
      <c r="AO14" s="90"/>
      <c r="AP14" s="90"/>
      <c r="AQ14" s="90"/>
      <c r="AR14" s="90"/>
      <c r="AS14" s="551"/>
      <c r="AT14" s="551"/>
      <c r="AU14" s="551"/>
      <c r="AV14" s="551"/>
      <c r="AW14" s="551"/>
      <c r="AX14" s="551"/>
      <c r="AY14" s="551"/>
      <c r="AZ14" s="55"/>
      <c r="BA14" s="55"/>
      <c r="BB14" s="55"/>
      <c r="BC14" s="55"/>
      <c r="BD14" s="551"/>
      <c r="BE14" s="551"/>
      <c r="BF14" s="551"/>
      <c r="BG14" s="551"/>
      <c r="BH14" s="551"/>
      <c r="BI14" s="551"/>
      <c r="BJ14" s="551"/>
      <c r="BK14" s="551"/>
      <c r="BL14" s="551"/>
      <c r="BM14" s="551"/>
      <c r="BN14" s="551"/>
      <c r="BO14" s="551"/>
      <c r="BP14" s="619"/>
      <c r="BQ14" s="98"/>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39"/>
      <c r="CW14" s="39"/>
      <c r="CX14" s="35"/>
      <c r="CY14" s="36"/>
      <c r="CZ14" s="36"/>
      <c r="DA14" s="36"/>
      <c r="DB14" s="36"/>
      <c r="DC14" s="36"/>
      <c r="DD14" s="36"/>
      <c r="DE14" s="36"/>
      <c r="DF14" s="542"/>
      <c r="DG14" s="542"/>
      <c r="DH14" s="542"/>
      <c r="DI14" s="542"/>
      <c r="DJ14" s="542"/>
      <c r="DK14" s="542"/>
      <c r="DL14" s="109"/>
      <c r="DM14" s="39"/>
      <c r="DN14" s="39"/>
      <c r="DO14" s="39"/>
      <c r="DP14" s="39"/>
      <c r="DQ14" s="39"/>
      <c r="DR14" s="39"/>
      <c r="DS14" s="39"/>
      <c r="DT14" s="39"/>
      <c r="DU14" s="39"/>
      <c r="DV14" s="39"/>
      <c r="DW14" s="39"/>
      <c r="DX14" s="39"/>
      <c r="DY14" s="39"/>
      <c r="DZ14" s="39"/>
      <c r="EA14" s="39"/>
      <c r="EB14" s="39"/>
    </row>
    <row r="15" spans="1:132">
      <c r="A15" s="34" t="s">
        <v>458</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95"/>
      <c r="BC15" s="34"/>
      <c r="BD15" s="95"/>
      <c r="BE15" s="34"/>
      <c r="BF15" s="34"/>
      <c r="BG15" s="34"/>
      <c r="BH15" s="34"/>
      <c r="BI15" s="34"/>
      <c r="BJ15" s="34"/>
      <c r="BK15" s="34"/>
      <c r="BL15" s="34"/>
      <c r="BM15" s="34"/>
      <c r="BN15" s="34"/>
      <c r="BO15" s="34"/>
      <c r="BP15" s="42"/>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42"/>
      <c r="DM15" s="34"/>
      <c r="DN15" s="34"/>
      <c r="DO15" s="34"/>
      <c r="DP15" s="34"/>
      <c r="DQ15" s="34"/>
      <c r="DR15" s="34"/>
      <c r="DS15" s="34"/>
      <c r="DT15" s="34"/>
      <c r="DU15" s="34"/>
      <c r="DV15" s="34"/>
      <c r="DW15" s="34"/>
      <c r="DX15" s="34"/>
      <c r="DY15" s="34"/>
      <c r="DZ15" s="34"/>
      <c r="EA15" s="34"/>
      <c r="EB15" s="34"/>
    </row>
    <row r="16" spans="1:132">
      <c r="A16" s="43" t="s">
        <v>459</v>
      </c>
      <c r="B16" s="44"/>
      <c r="C16" s="44"/>
      <c r="D16" s="44">
        <v>4.9862656548256279E-3</v>
      </c>
      <c r="E16" s="44">
        <v>6.8840596494967876E-3</v>
      </c>
      <c r="F16" s="44">
        <v>2.7605626026661056E-5</v>
      </c>
      <c r="G16" s="44">
        <v>-7.0852484207717392E-4</v>
      </c>
      <c r="H16" s="44">
        <v>4.9539822927360255E-3</v>
      </c>
      <c r="I16" s="44">
        <v>1.0065284618027803E-2</v>
      </c>
      <c r="J16" s="44">
        <v>1.1674951921332388E-2</v>
      </c>
      <c r="K16" s="44">
        <v>7.8907489934811892E-3</v>
      </c>
      <c r="L16" s="44">
        <v>7.9668692116758866E-3</v>
      </c>
      <c r="M16" s="44">
        <v>2.76261380336007E-3</v>
      </c>
      <c r="N16" s="44">
        <v>6.9711252822115544E-3</v>
      </c>
      <c r="O16" s="44">
        <v>-1.2368502711892493E-3</v>
      </c>
      <c r="P16" s="44">
        <v>1.0900386830267284E-2</v>
      </c>
      <c r="Q16" s="44">
        <v>8.9171698807444244E-4</v>
      </c>
      <c r="R16" s="44">
        <v>4.5886835538295756E-3</v>
      </c>
      <c r="S16" s="44">
        <v>7.0173323804678667E-4</v>
      </c>
      <c r="T16" s="44">
        <v>4.7280001720837461E-3</v>
      </c>
      <c r="U16" s="44">
        <v>5.0311718562667807E-3</v>
      </c>
      <c r="V16" s="44">
        <v>5.5768812920982125E-3</v>
      </c>
      <c r="W16" s="44">
        <v>5.0968529157557896E-3</v>
      </c>
      <c r="X16" s="44">
        <v>1.0369639718250667E-3</v>
      </c>
      <c r="Y16" s="44">
        <v>-5.158394286604584E-3</v>
      </c>
      <c r="Z16" s="44">
        <v>-1.168244078357028E-3</v>
      </c>
      <c r="AA16" s="44">
        <v>7.1236057904193739E-3</v>
      </c>
      <c r="AB16" s="44">
        <v>-6.6903141923035925E-4</v>
      </c>
      <c r="AC16" s="44">
        <v>1.1073777463388446E-3</v>
      </c>
      <c r="AD16" s="44">
        <v>1.3416834552344437E-3</v>
      </c>
      <c r="AE16" s="44">
        <v>8.9969758064516459E-3</v>
      </c>
      <c r="AF16" s="44">
        <v>3.9713265229661676E-3</v>
      </c>
      <c r="AG16" s="44">
        <v>6.0578166981790638E-3</v>
      </c>
      <c r="AH16" s="44">
        <v>5.1723356289437028E-3</v>
      </c>
      <c r="AI16" s="44">
        <v>1.1111475571154994E-3</v>
      </c>
      <c r="AJ16" s="44">
        <v>9.3052591916056304E-3</v>
      </c>
      <c r="AK16" s="44">
        <v>5.5592752652828814E-3</v>
      </c>
      <c r="AL16" s="44">
        <v>7.150783882488243E-3</v>
      </c>
      <c r="AM16" s="44">
        <v>5.7737692175161559E-3</v>
      </c>
      <c r="AN16" s="44">
        <v>4.637117656901113E-3</v>
      </c>
      <c r="AO16" s="44">
        <v>2.3197531941216987E-3</v>
      </c>
      <c r="AP16" s="44">
        <v>5.9738810841605261E-3</v>
      </c>
      <c r="AQ16" s="44">
        <v>3.6810250238912268E-3</v>
      </c>
      <c r="AR16" s="44">
        <v>4.7685658645915119E-3</v>
      </c>
      <c r="AS16" s="44">
        <v>8.579339390866858E-3</v>
      </c>
      <c r="AT16" s="552">
        <v>-2.1420562193092962E-3</v>
      </c>
      <c r="AU16" s="552">
        <v>-4.0065717075592477E-3</v>
      </c>
      <c r="AV16" s="552">
        <v>1.1496175722255586E-2</v>
      </c>
      <c r="AW16" s="552">
        <v>7.8770139655457427E-3</v>
      </c>
      <c r="AX16" s="552">
        <v>1.0692819935507192E-2</v>
      </c>
      <c r="AY16" s="552">
        <v>2.2137309465464883E-2</v>
      </c>
      <c r="AZ16" s="552">
        <v>1.1938975287207887E-2</v>
      </c>
      <c r="BA16" s="552">
        <v>2.505639879974586E-2</v>
      </c>
      <c r="BB16" s="552">
        <v>2.3721003112469052E-2</v>
      </c>
      <c r="BC16" s="552">
        <v>2.6455210511119542E-2</v>
      </c>
      <c r="BD16" s="552">
        <v>4.5717655351913411E-3</v>
      </c>
      <c r="BE16" s="552">
        <v>8.0527358048181341E-3</v>
      </c>
      <c r="BF16" s="552">
        <v>9.4876977858691092E-3</v>
      </c>
      <c r="BG16" s="552">
        <v>8.1420752346317293E-3</v>
      </c>
      <c r="BH16" s="552">
        <v>1.0769519136860195E-2</v>
      </c>
      <c r="BI16" s="552">
        <v>4.4278305907461402E-3</v>
      </c>
      <c r="BJ16" s="552">
        <v>1.0921988112782888E-2</v>
      </c>
      <c r="BK16" s="552">
        <v>3.2809260926538464E-3</v>
      </c>
      <c r="BL16" s="552">
        <v>5.492908718715217E-3</v>
      </c>
      <c r="BM16" s="552">
        <v>8.7406423991029936E-3</v>
      </c>
      <c r="BN16" s="552">
        <v>6.3349527554841245E-3</v>
      </c>
      <c r="BO16" s="552">
        <v>5.8977206952113281E-3</v>
      </c>
      <c r="BP16" s="45">
        <v>8.920684292379466E-3</v>
      </c>
      <c r="BQ16" s="84">
        <v>2.0439747447345002E-3</v>
      </c>
      <c r="BR16" s="84">
        <v>1.1165410376240859E-2</v>
      </c>
      <c r="BS16" s="84">
        <v>7.462863506757067E-3</v>
      </c>
      <c r="BT16" s="84">
        <v>7.0593877585845011E-3</v>
      </c>
      <c r="BU16" s="84">
        <v>8.7427360690006672E-4</v>
      </c>
      <c r="BV16" s="84"/>
      <c r="BW16" s="84"/>
      <c r="BX16" s="84"/>
      <c r="BY16" s="84"/>
      <c r="BZ16" s="84"/>
      <c r="CA16" s="84"/>
      <c r="CB16" s="84"/>
      <c r="CC16" s="84"/>
      <c r="CD16" s="84"/>
      <c r="CE16" s="84"/>
      <c r="CF16" s="84"/>
      <c r="CG16" s="84"/>
      <c r="CH16" s="84"/>
      <c r="CI16" s="84"/>
      <c r="CJ16" s="84"/>
      <c r="CK16" s="84"/>
      <c r="CL16" s="84"/>
      <c r="CM16" s="84"/>
      <c r="CN16" s="84"/>
      <c r="CO16" s="84"/>
      <c r="CP16" s="84"/>
      <c r="CQ16" s="84"/>
      <c r="CR16" s="84"/>
      <c r="CS16" s="84"/>
      <c r="CT16" s="84"/>
      <c r="CU16" s="84"/>
      <c r="CV16" s="68"/>
      <c r="CW16" s="47"/>
      <c r="CX16" s="48"/>
      <c r="CY16" s="48"/>
      <c r="CZ16" s="48">
        <v>1.7595049796895523E-2</v>
      </c>
      <c r="DA16" s="48">
        <v>1.5128383667573297E-2</v>
      </c>
      <c r="DB16" s="48">
        <v>6.5312139196231911E-3</v>
      </c>
      <c r="DC16" s="48">
        <v>6.3872475153647912E-3</v>
      </c>
      <c r="DD16" s="48">
        <v>2.0507989115119862E-2</v>
      </c>
      <c r="DE16" s="48">
        <v>2.1299307195522532E-2</v>
      </c>
      <c r="DF16" s="549">
        <v>2.0023809043401064E-2</v>
      </c>
      <c r="DG16" s="549">
        <v>2.3195274699624457E-2</v>
      </c>
      <c r="DH16" s="549">
        <v>1.3204191315779434E-2</v>
      </c>
      <c r="DI16" s="549">
        <v>7.1594573451124743E-2</v>
      </c>
      <c r="DJ16" s="549">
        <v>6.4108316773858087E-2</v>
      </c>
      <c r="DK16" s="549">
        <v>3.322200208829762E-2</v>
      </c>
      <c r="DL16" s="49">
        <v>2.872366268806581E-2</v>
      </c>
      <c r="DM16" s="51">
        <v>2.338768840344696E-2</v>
      </c>
      <c r="DN16" s="51">
        <v>2.6799999999999713E-2</v>
      </c>
      <c r="DO16" s="63">
        <v>0.02</v>
      </c>
      <c r="DP16" s="63">
        <v>0.02</v>
      </c>
      <c r="DQ16" s="63">
        <v>0.02</v>
      </c>
      <c r="DR16" s="63">
        <v>0.02</v>
      </c>
      <c r="DS16" s="63">
        <v>0.02</v>
      </c>
      <c r="DT16" s="63">
        <v>0.02</v>
      </c>
      <c r="DU16" s="63">
        <v>0.02</v>
      </c>
      <c r="DV16" s="63">
        <v>0.02</v>
      </c>
      <c r="DW16" s="63">
        <v>0.02</v>
      </c>
      <c r="DX16" s="63">
        <v>0.02</v>
      </c>
      <c r="DY16" s="63">
        <v>0.02</v>
      </c>
      <c r="DZ16" s="63">
        <v>0.02</v>
      </c>
      <c r="EA16" s="63">
        <v>0.02</v>
      </c>
      <c r="EB16" s="63">
        <v>0.02</v>
      </c>
    </row>
    <row r="17" spans="1:132">
      <c r="A17" s="43" t="s">
        <v>460</v>
      </c>
      <c r="B17" s="44"/>
      <c r="C17" s="44"/>
      <c r="D17" s="44"/>
      <c r="E17" s="44"/>
      <c r="F17" s="44">
        <v>8.8989705112545447E-3</v>
      </c>
      <c r="G17" s="44">
        <v>8.3016257350396749E-3</v>
      </c>
      <c r="H17" s="44">
        <v>9.4339622641510523E-3</v>
      </c>
      <c r="I17" s="44">
        <v>2.8887000849617817E-3</v>
      </c>
      <c r="J17" s="44">
        <v>1.2707556760420236E-2</v>
      </c>
      <c r="K17" s="44">
        <v>8.8673247448551873E-3</v>
      </c>
      <c r="L17" s="44">
        <v>7.9601990049751326E-3</v>
      </c>
      <c r="M17" s="44">
        <v>1.4149391247120668E-2</v>
      </c>
      <c r="N17" s="44">
        <v>6.3270603504217426E-3</v>
      </c>
      <c r="O17" s="44">
        <v>-2.0957601160729311E-3</v>
      </c>
      <c r="P17" s="44">
        <v>9.6930533117931539E-3</v>
      </c>
      <c r="Q17" s="44">
        <v>7.9999999999991189E-4</v>
      </c>
      <c r="R17" s="44">
        <v>6.8745003996801834E-3</v>
      </c>
      <c r="S17" s="44">
        <v>1.4290250873294497E-3</v>
      </c>
      <c r="T17" s="44">
        <v>1.0464563183764097E-2</v>
      </c>
      <c r="U17" s="44">
        <v>1.1140750039227987E-2</v>
      </c>
      <c r="V17" s="44">
        <v>1.5052762259466057E-2</v>
      </c>
      <c r="W17" s="44">
        <v>1.0243082097538547E-2</v>
      </c>
      <c r="X17" s="44">
        <v>1.3922518159806385E-2</v>
      </c>
      <c r="Y17" s="44">
        <v>6.4179104477612992E-3</v>
      </c>
      <c r="Z17" s="44">
        <v>1.0677739878392378E-2</v>
      </c>
      <c r="AA17" s="44">
        <v>1.247248716067495E-2</v>
      </c>
      <c r="AB17" s="44">
        <v>1.6086956521739193E-2</v>
      </c>
      <c r="AC17" s="44">
        <v>3.9937241477678853E-3</v>
      </c>
      <c r="AD17" s="44">
        <v>1.122318511152165E-2</v>
      </c>
      <c r="AE17" s="44">
        <v>1.0115200899128984E-2</v>
      </c>
      <c r="AF17" s="44">
        <v>5.2851182197495294E-3</v>
      </c>
      <c r="AG17" s="44">
        <v>1.3835085777547107E-4</v>
      </c>
      <c r="AH17" s="44">
        <v>1.1758196154378009E-2</v>
      </c>
      <c r="AI17" s="44">
        <v>-2.7344818156949113E-4</v>
      </c>
      <c r="AJ17" s="44">
        <v>2.8719912472647824E-3</v>
      </c>
      <c r="AK17" s="44">
        <v>8.182190099550013E-3</v>
      </c>
      <c r="AL17" s="44">
        <v>7.1689435952926317E-3</v>
      </c>
      <c r="AM17" s="44">
        <v>6.9836153639539766E-3</v>
      </c>
      <c r="AN17" s="44">
        <v>8.6689783942384135E-3</v>
      </c>
      <c r="AO17" s="44">
        <v>2.6444532592886372E-3</v>
      </c>
      <c r="AP17" s="44">
        <v>6.3299485691679092E-3</v>
      </c>
      <c r="AQ17" s="44">
        <v>9.1731096841829451E-3</v>
      </c>
      <c r="AR17" s="44">
        <v>4.155304505908175E-3</v>
      </c>
      <c r="AS17" s="44">
        <v>9.9573257467993059E-3</v>
      </c>
      <c r="AT17" s="552">
        <v>1.3572343149808042E-2</v>
      </c>
      <c r="AU17" s="552">
        <v>-1.6422435573520966E-3</v>
      </c>
      <c r="AV17" s="552">
        <v>8.7308616980892317E-3</v>
      </c>
      <c r="AW17" s="552">
        <v>8.9061716006022529E-3</v>
      </c>
      <c r="AX17" s="552">
        <v>1.2681835136143071E-2</v>
      </c>
      <c r="AY17" s="552">
        <v>7.2437077961939877E-3</v>
      </c>
      <c r="AZ17" s="552">
        <v>2.3647001462701045E-2</v>
      </c>
      <c r="BA17" s="552">
        <v>2.6434865444153299E-2</v>
      </c>
      <c r="BB17" s="552">
        <v>3.3758700696055577E-2</v>
      </c>
      <c r="BC17" s="552">
        <v>3.5686230501627225E-2</v>
      </c>
      <c r="BD17" s="552">
        <v>3.4890020587279302E-2</v>
      </c>
      <c r="BE17" s="552">
        <v>1.7799183331588253E-2</v>
      </c>
      <c r="BF17" s="552">
        <v>1.8413743442032837E-2</v>
      </c>
      <c r="BG17" s="552">
        <v>2.6262626262627542E-3</v>
      </c>
      <c r="BH17" s="552">
        <v>1.1384243401168614E-2</v>
      </c>
      <c r="BI17" s="552">
        <v>6.4747484809244416E-3</v>
      </c>
      <c r="BJ17" s="552">
        <v>1.6429136975455227E-2</v>
      </c>
      <c r="BK17" s="552">
        <v>7.0107108081791658E-3</v>
      </c>
      <c r="BL17" s="552">
        <v>1.0829626764649047E-2</v>
      </c>
      <c r="BM17" s="552">
        <v>1.0330973789936859E-2</v>
      </c>
      <c r="BN17" s="552">
        <v>1.9693239916682481E-2</v>
      </c>
      <c r="BO17" s="552">
        <v>-1.8570102135562205E-4</v>
      </c>
      <c r="BP17" s="45">
        <v>1.3558692421991037E-2</v>
      </c>
      <c r="BQ17" s="84">
        <v>1.0995052226498991E-3</v>
      </c>
      <c r="BR17" s="84">
        <v>1.5195222405272046E-2</v>
      </c>
      <c r="BS17" s="84">
        <v>2.9969285133990553E-4</v>
      </c>
      <c r="BT17" s="84">
        <v>1.208320907704441E-2</v>
      </c>
      <c r="BU17" s="84">
        <v>2.1697836323542052E-3</v>
      </c>
      <c r="BV17" s="84"/>
      <c r="BW17" s="84"/>
      <c r="BX17" s="84"/>
      <c r="BY17" s="84"/>
      <c r="BZ17" s="84"/>
      <c r="CA17" s="84"/>
      <c r="CB17" s="84"/>
      <c r="CC17" s="84"/>
      <c r="CD17" s="84"/>
      <c r="CE17" s="84"/>
      <c r="CF17" s="84"/>
      <c r="CG17" s="84"/>
      <c r="CH17" s="84"/>
      <c r="CI17" s="84"/>
      <c r="CJ17" s="84"/>
      <c r="CK17" s="84"/>
      <c r="CL17" s="84"/>
      <c r="CM17" s="84"/>
      <c r="CN17" s="84"/>
      <c r="CO17" s="84"/>
      <c r="CP17" s="84"/>
      <c r="CQ17" s="84"/>
      <c r="CR17" s="84"/>
      <c r="CS17" s="84"/>
      <c r="CT17" s="84"/>
      <c r="CU17" s="84"/>
      <c r="CV17" s="47"/>
      <c r="CW17" s="51"/>
      <c r="CX17" s="48"/>
      <c r="CY17" s="48"/>
      <c r="CZ17" s="48">
        <v>1.4763140817650733E-2</v>
      </c>
      <c r="DA17" s="48">
        <v>3.0215827338129442E-2</v>
      </c>
      <c r="DB17" s="48">
        <v>4.6399751707014492E-2</v>
      </c>
      <c r="DC17" s="48">
        <v>4.3897375055613086E-2</v>
      </c>
      <c r="DD17" s="48">
        <v>2.6992470521380874E-2</v>
      </c>
      <c r="DE17" s="48">
        <v>2.2686401991976801E-2</v>
      </c>
      <c r="DF17" s="549">
        <v>2.5699986473691316E-2</v>
      </c>
      <c r="DG17" s="549">
        <v>2.9935381775022973E-2</v>
      </c>
      <c r="DH17" s="549">
        <v>2.9833546734955307E-2</v>
      </c>
      <c r="DI17" s="549">
        <v>7.1739400721123836E-2</v>
      </c>
      <c r="DJ17" s="549">
        <v>0.12772621809744766</v>
      </c>
      <c r="DK17" s="549">
        <v>3.9399238761444355E-2</v>
      </c>
      <c r="DL17" s="49">
        <v>4.5328582739509127E-2</v>
      </c>
      <c r="DM17" s="51">
        <v>3.4463169854194176E-2</v>
      </c>
      <c r="DN17" s="51">
        <v>2.9999999999999805E-2</v>
      </c>
      <c r="DO17" s="63">
        <v>0.03</v>
      </c>
      <c r="DP17" s="63">
        <v>0.03</v>
      </c>
      <c r="DQ17" s="63">
        <v>0.03</v>
      </c>
      <c r="DR17" s="63">
        <v>0.03</v>
      </c>
      <c r="DS17" s="63">
        <v>0.03</v>
      </c>
      <c r="DT17" s="63">
        <v>0.03</v>
      </c>
      <c r="DU17" s="63">
        <v>0.03</v>
      </c>
      <c r="DV17" s="63">
        <v>0.03</v>
      </c>
      <c r="DW17" s="63">
        <v>0.03</v>
      </c>
      <c r="DX17" s="63">
        <v>0.03</v>
      </c>
      <c r="DY17" s="63">
        <v>0.03</v>
      </c>
      <c r="DZ17" s="63">
        <v>0.03</v>
      </c>
      <c r="EA17" s="63">
        <v>0.03</v>
      </c>
      <c r="EB17" s="63">
        <v>0.03</v>
      </c>
    </row>
    <row r="18" spans="1:132">
      <c r="A18" s="43" t="s">
        <v>461</v>
      </c>
      <c r="B18" s="44"/>
      <c r="C18" s="44"/>
      <c r="D18" s="44"/>
      <c r="E18" s="44"/>
      <c r="F18" s="44">
        <v>8.9195799165586731E-3</v>
      </c>
      <c r="G18" s="44">
        <v>5.2759161557109913E-3</v>
      </c>
      <c r="H18" s="44">
        <v>5.9574468085106247E-3</v>
      </c>
      <c r="I18" s="44">
        <v>4.2301184433157779E-4</v>
      </c>
      <c r="J18" s="44">
        <v>1.4799154334038001E-2</v>
      </c>
      <c r="K18" s="44">
        <v>7.6388888888887507E-3</v>
      </c>
      <c r="L18" s="44">
        <v>1.3921433494141988E-2</v>
      </c>
      <c r="M18" s="44">
        <v>1.0195758564437218E-2</v>
      </c>
      <c r="N18" s="44">
        <v>9.958282869061863E-3</v>
      </c>
      <c r="O18" s="44">
        <v>5.3297801465690409E-3</v>
      </c>
      <c r="P18" s="44">
        <v>1.1398277004638802E-2</v>
      </c>
      <c r="Q18" s="44">
        <v>-3.9313327217926908E-4</v>
      </c>
      <c r="R18" s="44">
        <v>9.3078133193496004E-3</v>
      </c>
      <c r="S18" s="44">
        <v>7.1437849071309678E-3</v>
      </c>
      <c r="T18" s="44">
        <v>1.1993809646633879E-2</v>
      </c>
      <c r="U18" s="44">
        <v>-1.2743723716079902E-4</v>
      </c>
      <c r="V18" s="44">
        <v>1.4529696660718905E-2</v>
      </c>
      <c r="W18" s="44">
        <v>7.7889447236181297E-3</v>
      </c>
      <c r="X18" s="44">
        <v>4.9862877088009405E-3</v>
      </c>
      <c r="Y18" s="44">
        <v>4.5894319027535158E-3</v>
      </c>
      <c r="Z18" s="44">
        <v>1.2470675392023844E-2</v>
      </c>
      <c r="AA18" s="44">
        <v>1.2926829268292694E-2</v>
      </c>
      <c r="AB18" s="44">
        <v>8.5480375632072114E-3</v>
      </c>
      <c r="AC18" s="44">
        <v>9.4305837411960969E-3</v>
      </c>
      <c r="AD18" s="44">
        <v>1.1471144749290341E-2</v>
      </c>
      <c r="AE18" s="44">
        <v>3.6244592540628506E-3</v>
      </c>
      <c r="AF18" s="44">
        <v>6.4072693383037116E-3</v>
      </c>
      <c r="AG18" s="44">
        <v>1.0417872438939657E-2</v>
      </c>
      <c r="AH18" s="44">
        <v>1.8787948218581763E-2</v>
      </c>
      <c r="AI18" s="44">
        <v>-8.4335994602496855E-3</v>
      </c>
      <c r="AJ18" s="44">
        <v>8.6187344068948679E-3</v>
      </c>
      <c r="AK18" s="44">
        <v>-5.1720260850010025E-3</v>
      </c>
      <c r="AL18" s="44">
        <v>8.7025316455695556E-3</v>
      </c>
      <c r="AM18" s="44">
        <v>2.1288515406161501E-3</v>
      </c>
      <c r="AN18" s="44">
        <v>7.0438282647584671E-3</v>
      </c>
      <c r="AO18" s="44">
        <v>3.8858665482404131E-3</v>
      </c>
      <c r="AP18" s="44">
        <v>9.1793850917938347E-3</v>
      </c>
      <c r="AQ18" s="44">
        <v>2.6301369863013235E-3</v>
      </c>
      <c r="AR18" s="44">
        <v>2.732539075308793E-3</v>
      </c>
      <c r="AS18" s="44">
        <v>4.360148245040385E-3</v>
      </c>
      <c r="AT18" s="552">
        <v>8.4653787714348283E-3</v>
      </c>
      <c r="AU18" s="552">
        <v>4.3047783039162901E-4</v>
      </c>
      <c r="AV18" s="552">
        <v>4.8407917383821442E-3</v>
      </c>
      <c r="AW18" s="552">
        <v>5.8880205545444042E-3</v>
      </c>
      <c r="AX18" s="552">
        <v>1.4580672626649749E-2</v>
      </c>
      <c r="AY18" s="552">
        <v>6.8184202244834236E-3</v>
      </c>
      <c r="AZ18" s="552">
        <v>2.4171702438007925E-2</v>
      </c>
      <c r="BA18" s="552">
        <v>1.7293997965412089E-2</v>
      </c>
      <c r="BB18" s="552">
        <v>1.8399999999999972E-2</v>
      </c>
      <c r="BC18" s="552">
        <v>2.553024351924571E-2</v>
      </c>
      <c r="BD18" s="552">
        <v>2.1447721179624679E-2</v>
      </c>
      <c r="BE18" s="552">
        <v>1.668541432320958E-2</v>
      </c>
      <c r="BF18" s="552">
        <v>1.7794578646505688E-2</v>
      </c>
      <c r="BG18" s="552">
        <v>7.2470332457650333E-3</v>
      </c>
      <c r="BH18" s="552">
        <v>7.8244446443025417E-3</v>
      </c>
      <c r="BI18" s="552">
        <v>-8.031411743708583E-4</v>
      </c>
      <c r="BJ18" s="552">
        <v>1.5897115298740827E-2</v>
      </c>
      <c r="BK18" s="552">
        <v>-1.7582417582417964E-4</v>
      </c>
      <c r="BL18" s="552">
        <v>2.8136815264221404E-3</v>
      </c>
      <c r="BM18" s="552">
        <v>1.0521701008330275E-3</v>
      </c>
      <c r="BN18" s="552">
        <v>9.1092230883769165E-3</v>
      </c>
      <c r="BO18" s="552">
        <v>3.9059109452304064E-3</v>
      </c>
      <c r="BP18" s="45">
        <v>-5.1876188829325098E-4</v>
      </c>
      <c r="BQ18" s="84">
        <v>8.6505190311392255E-5</v>
      </c>
      <c r="BR18" s="84">
        <v>1.3481273246259029E-2</v>
      </c>
      <c r="BS18" s="84">
        <v>3.5110610294211142E-3</v>
      </c>
      <c r="BT18" s="84">
        <v>1.5458757273221213E-3</v>
      </c>
      <c r="BU18" s="84">
        <v>3.2280353921458893E-3</v>
      </c>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68"/>
      <c r="CW18" s="47"/>
      <c r="CX18" s="48"/>
      <c r="CY18" s="48"/>
      <c r="CZ18" s="48">
        <v>2.6510563854124536E-2</v>
      </c>
      <c r="DA18" s="48">
        <v>2.8578919769270961E-2</v>
      </c>
      <c r="DB18" s="48">
        <v>3.2245730308437359E-2</v>
      </c>
      <c r="DC18" s="48">
        <v>4.4079515989628337E-2</v>
      </c>
      <c r="DD18" s="48">
        <v>3.22847682119205E-2</v>
      </c>
      <c r="DE18" s="48">
        <v>1.3632718524458687E-2</v>
      </c>
      <c r="DF18" s="549">
        <v>2.192585895117527E-2</v>
      </c>
      <c r="DG18" s="549">
        <v>1.9022340190223419E-2</v>
      </c>
      <c r="DH18" s="549">
        <v>1.9752550466681118E-2</v>
      </c>
      <c r="DI18" s="549">
        <v>6.4282673478075925E-2</v>
      </c>
      <c r="DJ18" s="549">
        <v>8.4600000000000009E-2</v>
      </c>
      <c r="DK18" s="549">
        <v>3.2362161165406578E-2</v>
      </c>
      <c r="DL18" s="49">
        <v>1.9648120032151439E-2</v>
      </c>
      <c r="DM18" s="51">
        <v>1.2612770430060483E-2</v>
      </c>
      <c r="DN18" s="51">
        <v>2.1899999999999809E-2</v>
      </c>
      <c r="DO18" s="63">
        <v>2.1899999999999809E-2</v>
      </c>
      <c r="DP18" s="63">
        <v>2.1899999999999809E-2</v>
      </c>
      <c r="DQ18" s="63">
        <v>2.1899999999999809E-2</v>
      </c>
      <c r="DR18" s="63">
        <v>2.1899999999999809E-2</v>
      </c>
      <c r="DS18" s="63">
        <v>2.1899999999999809E-2</v>
      </c>
      <c r="DT18" s="63">
        <v>2.1899999999999809E-2</v>
      </c>
      <c r="DU18" s="63">
        <v>2.1899999999999809E-2</v>
      </c>
      <c r="DV18" s="63">
        <v>2.1899999999999809E-2</v>
      </c>
      <c r="DW18" s="63">
        <v>2.1899999999999809E-2</v>
      </c>
      <c r="DX18" s="63">
        <v>2.1899999999999809E-2</v>
      </c>
      <c r="DY18" s="63">
        <v>2.1899999999999809E-2</v>
      </c>
      <c r="DZ18" s="63">
        <v>2.1899999999999809E-2</v>
      </c>
      <c r="EA18" s="63">
        <v>2.1899999999999809E-2</v>
      </c>
      <c r="EB18" s="63">
        <v>2.1899999999999809E-2</v>
      </c>
    </row>
    <row r="19" spans="1:132" ht="15.75" thickBot="1">
      <c r="A19" s="43" t="s">
        <v>462</v>
      </c>
      <c r="B19" s="44"/>
      <c r="C19" s="44"/>
      <c r="D19" s="44"/>
      <c r="E19" s="44"/>
      <c r="F19" s="44">
        <v>1.7696629213483028E-2</v>
      </c>
      <c r="G19" s="44">
        <v>6.7623516422854468E-3</v>
      </c>
      <c r="H19" s="44">
        <v>-6.8540095956126645E-4</v>
      </c>
      <c r="I19" s="44">
        <v>7.5445816186556769E-3</v>
      </c>
      <c r="J19" s="44">
        <v>1.7971409121851467E-2</v>
      </c>
      <c r="K19" s="44">
        <v>7.2221479202889682E-3</v>
      </c>
      <c r="L19" s="44">
        <v>4.1163192139157534E-3</v>
      </c>
      <c r="M19" s="44">
        <v>7.5376884422109214E-3</v>
      </c>
      <c r="N19" s="44">
        <v>1.4700091875574195E-2</v>
      </c>
      <c r="O19" s="44">
        <v>5.3033242788771418E-3</v>
      </c>
      <c r="P19" s="44">
        <v>3.0880082346884663E-3</v>
      </c>
      <c r="Q19" s="44">
        <v>1.1544381734223119E-3</v>
      </c>
      <c r="R19" s="44">
        <v>9.4811018577836137E-3</v>
      </c>
      <c r="S19" s="44">
        <v>7.6151795913186326E-3</v>
      </c>
      <c r="T19" s="44">
        <v>4.282655246252709E-3</v>
      </c>
      <c r="U19" s="44">
        <v>-2.1321961620469621E-3</v>
      </c>
      <c r="V19" s="44">
        <v>1.5208647561588684E-2</v>
      </c>
      <c r="W19" s="44">
        <v>1.0399900953324215E-2</v>
      </c>
      <c r="X19" s="44">
        <v>4.9013601274354723E-3</v>
      </c>
      <c r="Y19" s="44">
        <v>5.6090720643822145E-3</v>
      </c>
      <c r="Z19" s="44">
        <v>2.4008730447435456E-2</v>
      </c>
      <c r="AA19" s="44">
        <v>8.9994079336883637E-3</v>
      </c>
      <c r="AB19" s="44">
        <v>1.3848139889684363E-2</v>
      </c>
      <c r="AC19" s="44">
        <v>1.9215186942933116E-2</v>
      </c>
      <c r="AD19" s="44">
        <v>3.5547984099943308E-2</v>
      </c>
      <c r="AE19" s="44">
        <v>1.491555165606484E-2</v>
      </c>
      <c r="AF19" s="44">
        <v>1.5128593040847349E-3</v>
      </c>
      <c r="AG19" s="44">
        <v>4.6396201985325902E-3</v>
      </c>
      <c r="AH19" s="44">
        <v>2.5238964665449393E-2</v>
      </c>
      <c r="AI19" s="44">
        <v>8.0662057406244436E-3</v>
      </c>
      <c r="AJ19" s="44">
        <v>1.3509300633898214E-3</v>
      </c>
      <c r="AK19" s="44">
        <v>5.8115400581153498E-3</v>
      </c>
      <c r="AL19" s="44">
        <v>1.57862154354107E-2</v>
      </c>
      <c r="AM19" s="44">
        <v>8.7353986795326577E-3</v>
      </c>
      <c r="AN19" s="44">
        <v>1.6111167052663689E-3</v>
      </c>
      <c r="AO19" s="44">
        <v>5.3282396702523105E-3</v>
      </c>
      <c r="AP19" s="44">
        <v>1.6199999999999992E-2</v>
      </c>
      <c r="AQ19" s="44">
        <v>1.0726234993111428E-2</v>
      </c>
      <c r="AR19" s="44">
        <v>5.3548826793887727E-3</v>
      </c>
      <c r="AS19" s="44">
        <v>5.2295177222543288E-3</v>
      </c>
      <c r="AT19" s="552">
        <v>1.6666666666666607E-2</v>
      </c>
      <c r="AU19" s="552">
        <v>-5.3065479010707683E-3</v>
      </c>
      <c r="AV19" s="552">
        <v>3.0484900447746988E-3</v>
      </c>
      <c r="AW19" s="552">
        <v>1.8045398423400805E-3</v>
      </c>
      <c r="AX19" s="552">
        <v>1.5547971179370457E-2</v>
      </c>
      <c r="AY19" s="552">
        <v>1.549663928304712E-2</v>
      </c>
      <c r="AZ19" s="552">
        <v>1.158301158301156E-2</v>
      </c>
      <c r="BA19" s="552">
        <v>1.2450018175208966E-2</v>
      </c>
      <c r="BB19" s="552">
        <v>4.3532896508392538E-2</v>
      </c>
      <c r="BC19" s="552">
        <v>2.6234302425597766E-2</v>
      </c>
      <c r="BD19" s="552">
        <v>2.7826670019277522E-2</v>
      </c>
      <c r="BE19" s="552">
        <v>2.772567887140176E-2</v>
      </c>
      <c r="BF19" s="552">
        <v>4.5544711576608776E-2</v>
      </c>
      <c r="BG19" s="552">
        <v>1.5253851407755814E-2</v>
      </c>
      <c r="BH19" s="552">
        <v>1.7416654208401994E-2</v>
      </c>
      <c r="BI19" s="552">
        <v>1.1828667989126407E-2</v>
      </c>
      <c r="BJ19" s="552">
        <v>2.7301771710717349E-2</v>
      </c>
      <c r="BK19" s="552">
        <v>1.3429459994345638E-2</v>
      </c>
      <c r="BL19" s="552">
        <v>4.4636629934440286E-3</v>
      </c>
      <c r="BM19" s="552">
        <v>5.9713928621023538E-3</v>
      </c>
      <c r="BN19" s="552">
        <v>2.6228602981778204E-2</v>
      </c>
      <c r="BO19" s="552">
        <v>1.0895883777239712E-2</v>
      </c>
      <c r="BP19" s="45">
        <v>7.8509647371920455E-3</v>
      </c>
      <c r="BQ19" s="84">
        <v>5.2152099287035014E-3</v>
      </c>
      <c r="BR19" s="84">
        <v>2.5439915938793245E-2</v>
      </c>
      <c r="BS19" s="84">
        <v>9.4520218217399865E-3</v>
      </c>
      <c r="BT19" s="84">
        <v>6.2171832553064021E-3</v>
      </c>
      <c r="BU19" s="84">
        <v>3.2950280568244672E-3</v>
      </c>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68"/>
      <c r="CW19" s="51"/>
      <c r="CX19" s="48"/>
      <c r="CY19" s="48"/>
      <c r="CZ19" s="48">
        <v>2.4412652579078653E-2</v>
      </c>
      <c r="DA19" s="48">
        <v>1.9346572709801446E-2</v>
      </c>
      <c r="DB19" s="48">
        <v>3.6576168929109976E-2</v>
      </c>
      <c r="DC19" s="48">
        <v>6.7660967624590729E-2</v>
      </c>
      <c r="DD19" s="48">
        <v>5.7467348097671733E-2</v>
      </c>
      <c r="DE19" s="48">
        <v>4.0919342712920193E-2</v>
      </c>
      <c r="DF19" s="549">
        <v>3.1778786628146927E-2</v>
      </c>
      <c r="DG19" s="549">
        <v>3.8000000000000034E-2</v>
      </c>
      <c r="DH19" s="549">
        <v>1.6184971098265999E-2</v>
      </c>
      <c r="DI19" s="549">
        <v>5.6219188471748227E-2</v>
      </c>
      <c r="DJ19" s="549">
        <v>0.13122699937169013</v>
      </c>
      <c r="DK19" s="549">
        <v>9.2755693088947044E-2</v>
      </c>
      <c r="DL19" s="49">
        <v>5.1989544002323473E-2</v>
      </c>
      <c r="DM19" s="51">
        <v>5.1007730535615803E-2</v>
      </c>
      <c r="DN19" s="51">
        <v>4.4999999999999707E-2</v>
      </c>
      <c r="DO19" s="63">
        <v>4.4999999999999707E-2</v>
      </c>
      <c r="DP19" s="63">
        <v>4.4999999999999707E-2</v>
      </c>
      <c r="DQ19" s="63">
        <v>4.4999999999999707E-2</v>
      </c>
      <c r="DR19" s="63">
        <v>4.4999999999999707E-2</v>
      </c>
      <c r="DS19" s="63">
        <v>4.4999999999999707E-2</v>
      </c>
      <c r="DT19" s="63">
        <v>4.4999999999999707E-2</v>
      </c>
      <c r="DU19" s="63">
        <v>4.4999999999999707E-2</v>
      </c>
      <c r="DV19" s="63">
        <v>4.4999999999999707E-2</v>
      </c>
      <c r="DW19" s="63">
        <v>4.4999999999999707E-2</v>
      </c>
      <c r="DX19" s="63">
        <v>4.4999999999999707E-2</v>
      </c>
      <c r="DY19" s="63">
        <v>4.4999999999999707E-2</v>
      </c>
      <c r="DZ19" s="63">
        <v>4.4999999999999707E-2</v>
      </c>
      <c r="EA19" s="63">
        <v>4.4999999999999707E-2</v>
      </c>
      <c r="EB19" s="63">
        <v>4.4999999999999707E-2</v>
      </c>
    </row>
    <row r="20" spans="1:132" ht="15.75" thickBot="1">
      <c r="A20" s="43" t="s">
        <v>463</v>
      </c>
      <c r="B20" s="52"/>
      <c r="C20" s="44"/>
      <c r="D20" s="44"/>
      <c r="E20" s="44"/>
      <c r="F20" s="44">
        <v>7.7706740131035623E-2</v>
      </c>
      <c r="G20" s="44">
        <v>3.711028219462853E-2</v>
      </c>
      <c r="H20" s="44">
        <v>4.7694638667892253E-2</v>
      </c>
      <c r="I20" s="44">
        <v>4.9715337090813883E-2</v>
      </c>
      <c r="J20" s="44">
        <v>5.6477277516836955E-2</v>
      </c>
      <c r="K20" s="44">
        <v>4.6153770290300988E-2</v>
      </c>
      <c r="L20" s="44">
        <v>5.1020922738755248E-2</v>
      </c>
      <c r="M20" s="44">
        <v>4.3695526760997305E-2</v>
      </c>
      <c r="N20" s="44">
        <v>6.2174920142764378E-2</v>
      </c>
      <c r="O20" s="44">
        <v>4.8217584968295091E-2</v>
      </c>
      <c r="P20" s="44">
        <v>5.6785867172653548E-2</v>
      </c>
      <c r="Q20" s="44">
        <v>5.2996541573487432E-2</v>
      </c>
      <c r="R20" s="44">
        <v>5.2678172916810428E-2</v>
      </c>
      <c r="S20" s="44">
        <v>5.0617317192603872E-2</v>
      </c>
      <c r="T20" s="44">
        <v>6.8180142994029636E-2</v>
      </c>
      <c r="U20" s="44">
        <v>6.9969638421198077E-2</v>
      </c>
      <c r="V20" s="44">
        <v>0.13375467560944143</v>
      </c>
      <c r="W20" s="44">
        <v>8.1626848691694898E-2</v>
      </c>
      <c r="X20" s="44">
        <v>6.8998159347883226E-2</v>
      </c>
      <c r="Y20" s="44">
        <v>5.2983716239484391E-2</v>
      </c>
      <c r="Z20" s="44">
        <v>5.1579144085217798E-2</v>
      </c>
      <c r="AA20" s="44">
        <v>6.0467389372667268E-2</v>
      </c>
      <c r="AB20" s="44">
        <v>5.6307344254053593E-2</v>
      </c>
      <c r="AC20" s="44">
        <v>7.74997025344073E-2</v>
      </c>
      <c r="AD20" s="44">
        <v>0.11863658114624398</v>
      </c>
      <c r="AE20" s="44">
        <v>0.14461416446199404</v>
      </c>
      <c r="AF20" s="91">
        <v>3.3282440000000024E-2</v>
      </c>
      <c r="AG20" s="91">
        <v>5.2868608000000039E-2</v>
      </c>
      <c r="AH20" s="91">
        <v>6.2232064000000031E-2</v>
      </c>
      <c r="AI20" s="91">
        <v>5.3874535999999917E-2</v>
      </c>
      <c r="AJ20" s="91">
        <v>5.083152199999974E-2</v>
      </c>
      <c r="AK20" s="91">
        <v>6.1115509999999817E-2</v>
      </c>
      <c r="AL20" s="91">
        <v>6.6407936000000056E-2</v>
      </c>
      <c r="AM20" s="44">
        <v>8.7363978999999814E-2</v>
      </c>
      <c r="AN20" s="44">
        <v>0.14083758499999965</v>
      </c>
      <c r="AO20" s="44">
        <v>0.11600892800000029</v>
      </c>
      <c r="AP20" s="44">
        <v>0.11830279399999988</v>
      </c>
      <c r="AQ20" s="44">
        <v>9.4837457999999986E-2</v>
      </c>
      <c r="AR20" s="44">
        <v>0.12558991999999991</v>
      </c>
      <c r="AS20" s="44">
        <v>0.11718103346340314</v>
      </c>
      <c r="AT20" s="552">
        <v>7.8005927180355705E-2</v>
      </c>
      <c r="AU20" s="552">
        <v>5.37391588937981E-2</v>
      </c>
      <c r="AV20" s="552">
        <v>7.6559927943597117E-2</v>
      </c>
      <c r="AW20" s="552">
        <v>0.11326524724482145</v>
      </c>
      <c r="AX20" s="552">
        <v>0.12954804602467096</v>
      </c>
      <c r="AY20" s="552">
        <v>0.1095051276756831</v>
      </c>
      <c r="AZ20" s="552">
        <v>9.2845326716294307E-2</v>
      </c>
      <c r="BA20" s="552">
        <v>0.10210028382213809</v>
      </c>
      <c r="BB20" s="552">
        <v>0.16069773031624468</v>
      </c>
      <c r="BC20" s="552">
        <v>0.17301718782356601</v>
      </c>
      <c r="BD20" s="552">
        <v>0.21976469994829961</v>
      </c>
      <c r="BE20" s="552">
        <v>0.17293318584528228</v>
      </c>
      <c r="BF20" s="552">
        <v>0.21732079429573692</v>
      </c>
      <c r="BG20" s="552">
        <v>0.23780735034318967</v>
      </c>
      <c r="BH20" s="552">
        <v>0.3482139201338319</v>
      </c>
      <c r="BI20" s="552">
        <v>0.53289051246897934</v>
      </c>
      <c r="BJ20" s="552">
        <v>0.51621905416917868</v>
      </c>
      <c r="BK20" s="552">
        <v>0.18566423188708803</v>
      </c>
      <c r="BL20" s="552">
        <v>0.12131063918220453</v>
      </c>
      <c r="BM20" s="552">
        <v>8.0279518803073158E-2</v>
      </c>
      <c r="BN20" s="552">
        <v>8.5691336507230931E-2</v>
      </c>
      <c r="BO20" s="552">
        <v>6.0125794294962898E-2</v>
      </c>
      <c r="BP20" s="45">
        <v>5.9682211308814681E-2</v>
      </c>
      <c r="BQ20" s="129">
        <v>4.8728219784763382E-2</v>
      </c>
      <c r="BR20" s="129">
        <v>6.4331240000000012E-2</v>
      </c>
      <c r="BS20" s="129">
        <v>4.9798255999999874E-2</v>
      </c>
      <c r="BT20" s="129">
        <v>3.2341199999999848E-2</v>
      </c>
      <c r="BU20" s="129">
        <v>2.5208576000000038E-2</v>
      </c>
      <c r="BV20" s="130" t="s">
        <v>464</v>
      </c>
      <c r="BW20" s="119"/>
      <c r="BX20" s="119"/>
      <c r="BY20" s="119"/>
      <c r="BZ20" s="119"/>
      <c r="CA20" s="119"/>
      <c r="CB20" s="119"/>
      <c r="CC20" s="119"/>
      <c r="CD20" s="119"/>
      <c r="CE20" s="119"/>
      <c r="CF20" s="119"/>
      <c r="CG20" s="119"/>
      <c r="CH20" s="119"/>
      <c r="CI20" s="119"/>
      <c r="CJ20" s="119"/>
      <c r="CK20" s="119"/>
      <c r="CL20" s="119"/>
      <c r="CM20" s="119"/>
      <c r="CN20" s="119"/>
      <c r="CO20" s="119"/>
      <c r="CP20" s="119"/>
      <c r="CQ20" s="119"/>
      <c r="CR20" s="119"/>
      <c r="CS20" s="119"/>
      <c r="CT20" s="119"/>
      <c r="CU20" s="119"/>
      <c r="CV20" s="51"/>
      <c r="CW20" s="51"/>
      <c r="CX20" s="48"/>
      <c r="CY20" s="48"/>
      <c r="CZ20" s="48">
        <v>0.23897181076000051</v>
      </c>
      <c r="DA20" s="48">
        <v>0.2640263506237186</v>
      </c>
      <c r="DB20" s="48">
        <v>0.38036888946214331</v>
      </c>
      <c r="DC20" s="48">
        <v>0.26924873855354203</v>
      </c>
      <c r="DD20" s="48">
        <v>0.39296870420172958</v>
      </c>
      <c r="DE20" s="48">
        <v>0.24825717834665229</v>
      </c>
      <c r="DF20" s="549">
        <v>0.47635160315840164</v>
      </c>
      <c r="DG20" s="549">
        <v>0.53961738645159807</v>
      </c>
      <c r="DH20" s="549">
        <v>0.36141687835167935</v>
      </c>
      <c r="DI20" s="549">
        <v>0.5094329843474652</v>
      </c>
      <c r="DJ20" s="549">
        <v>0.94792775469560109</v>
      </c>
      <c r="DK20" s="549">
        <v>2.1140676367674671</v>
      </c>
      <c r="DL20" s="49">
        <v>1.1776383381590008</v>
      </c>
      <c r="DM20" s="120">
        <v>0.27909373655610015</v>
      </c>
      <c r="DN20" s="120">
        <v>0.18254628239903714</v>
      </c>
      <c r="DO20" s="63">
        <v>0.1</v>
      </c>
      <c r="DP20" s="64">
        <v>0.08</v>
      </c>
      <c r="DQ20" s="64">
        <v>0.08</v>
      </c>
      <c r="DR20" s="64">
        <v>0.08</v>
      </c>
      <c r="DS20" s="63">
        <v>0.08</v>
      </c>
      <c r="DT20" s="63">
        <v>0.08</v>
      </c>
      <c r="DU20" s="63">
        <v>0.08</v>
      </c>
      <c r="DV20" s="63">
        <v>0.08</v>
      </c>
      <c r="DW20" s="63">
        <v>0.08</v>
      </c>
      <c r="DX20" s="63">
        <v>0.08</v>
      </c>
      <c r="DY20" s="63">
        <v>0.08</v>
      </c>
      <c r="DZ20" s="63">
        <v>0.08</v>
      </c>
      <c r="EA20" s="63">
        <v>0.08</v>
      </c>
      <c r="EB20" s="63">
        <v>0.08</v>
      </c>
    </row>
    <row r="21" spans="1:132">
      <c r="A21" s="43" t="s">
        <v>465</v>
      </c>
      <c r="B21" s="44"/>
      <c r="C21" s="44"/>
      <c r="D21" s="44">
        <v>6.3125610865828463E-3</v>
      </c>
      <c r="E21" s="44">
        <v>1.0636908330347028E-2</v>
      </c>
      <c r="F21" s="44">
        <v>2.0635672838258401E-2</v>
      </c>
      <c r="G21" s="44">
        <v>1.0026429772781675E-2</v>
      </c>
      <c r="H21" s="44">
        <v>4.9988105724041443E-3</v>
      </c>
      <c r="I21" s="44">
        <v>2.2262809912068304E-2</v>
      </c>
      <c r="J21" s="44">
        <v>2.4396959845301325E-2</v>
      </c>
      <c r="K21" s="44">
        <v>1.3956003005626494E-2</v>
      </c>
      <c r="L21" s="44">
        <v>1.0633971472036707E-2</v>
      </c>
      <c r="M21" s="44">
        <v>1.4569950966511147E-2</v>
      </c>
      <c r="N21" s="44">
        <v>1.2245389616685198E-2</v>
      </c>
      <c r="O21" s="44">
        <v>1.0828899898705835E-2</v>
      </c>
      <c r="P21" s="44">
        <v>1.4167087793448774E-2</v>
      </c>
      <c r="Q21" s="44">
        <v>1.993171123933335E-2</v>
      </c>
      <c r="R21" s="44">
        <v>1.94200629569794E-2</v>
      </c>
      <c r="S21" s="44">
        <v>1.1845050402731649E-2</v>
      </c>
      <c r="T21" s="44">
        <v>6.2084221404119511E-3</v>
      </c>
      <c r="U21" s="44">
        <v>2.043332557722799E-2</v>
      </c>
      <c r="V21" s="44">
        <v>2.1751380592809788E-2</v>
      </c>
      <c r="W21" s="44">
        <v>1.5375617564219013E-2</v>
      </c>
      <c r="X21" s="44">
        <v>8.3166595929584641E-3</v>
      </c>
      <c r="Y21" s="44">
        <v>1.7192651907677936E-2</v>
      </c>
      <c r="Z21" s="44">
        <v>3.8277181971792196E-2</v>
      </c>
      <c r="AA21" s="44">
        <v>2.2568002922714214E-2</v>
      </c>
      <c r="AB21" s="44">
        <v>1.3857214776389126E-2</v>
      </c>
      <c r="AC21" s="44">
        <v>2.8157121543573194E-2</v>
      </c>
      <c r="AD21" s="44">
        <v>2.6206442222306281E-2</v>
      </c>
      <c r="AE21" s="44">
        <v>1.749542390672576E-2</v>
      </c>
      <c r="AF21" s="44">
        <v>1.0431431561581439E-2</v>
      </c>
      <c r="AG21" s="44">
        <v>7.4190016728088448E-3</v>
      </c>
      <c r="AH21" s="44">
        <v>9.6300018845405511E-3</v>
      </c>
      <c r="AI21" s="44">
        <v>2.1942513931838548E-3</v>
      </c>
      <c r="AJ21" s="44">
        <v>5.9102657757119648E-3</v>
      </c>
      <c r="AK21" s="44">
        <v>1.1444547536120453E-2</v>
      </c>
      <c r="AL21" s="44">
        <v>7.0152101308664783E-3</v>
      </c>
      <c r="AM21" s="44">
        <v>1.8887284258576775E-2</v>
      </c>
      <c r="AN21" s="44">
        <v>7.2098896611332286E-3</v>
      </c>
      <c r="AO21" s="44">
        <v>3.8930647158041953E-3</v>
      </c>
      <c r="AP21" s="44">
        <v>1.5068785890315128E-2</v>
      </c>
      <c r="AQ21" s="44">
        <v>7.1077186347772159E-3</v>
      </c>
      <c r="AR21" s="44">
        <v>2.6024735964957912E-3</v>
      </c>
      <c r="AS21" s="44">
        <v>1.7676516496296646E-2</v>
      </c>
      <c r="AT21" s="552">
        <v>5.3080212396032778E-3</v>
      </c>
      <c r="AU21" s="552">
        <v>-4.3058882039602731E-3</v>
      </c>
      <c r="AV21" s="552">
        <v>1.2447750992402584E-2</v>
      </c>
      <c r="AW21" s="552">
        <v>3.1314508276533592E-2</v>
      </c>
      <c r="AX21" s="552">
        <v>2.0524800425854028E-2</v>
      </c>
      <c r="AY21" s="552">
        <v>1.6786731327713023E-2</v>
      </c>
      <c r="AZ21" s="552">
        <v>3.0195945219914089E-2</v>
      </c>
      <c r="BA21" s="552">
        <v>2.9580045119536491E-2</v>
      </c>
      <c r="BB21" s="552">
        <v>3.2007960732282958E-2</v>
      </c>
      <c r="BC21" s="552">
        <v>2.2153507084467394E-2</v>
      </c>
      <c r="BD21" s="552">
        <v>-1.3245351115654835E-2</v>
      </c>
      <c r="BE21" s="552">
        <v>1.6286414853838194E-2</v>
      </c>
      <c r="BF21" s="552">
        <v>2.0941939330469506E-2</v>
      </c>
      <c r="BG21" s="552">
        <v>7.6070363573370603E-3</v>
      </c>
      <c r="BH21" s="552">
        <v>6.1126585034421144E-3</v>
      </c>
      <c r="BI21" s="552">
        <v>1.0836245981739268E-2</v>
      </c>
      <c r="BJ21" s="552">
        <v>1.4154167780112026E-2</v>
      </c>
      <c r="BK21" s="552">
        <v>1.0535525553417191E-2</v>
      </c>
      <c r="BL21" s="552">
        <v>8.0155470495610892E-3</v>
      </c>
      <c r="BM21" s="552">
        <v>1.4770299336158255E-2</v>
      </c>
      <c r="BN21" s="552">
        <v>2.0404196887543247E-2</v>
      </c>
      <c r="BO21" s="552">
        <v>9.3287032564199901E-3</v>
      </c>
      <c r="BP21" s="45">
        <v>6.3025008990875708E-3</v>
      </c>
      <c r="BQ21" s="84">
        <v>6.0102784866544745E-3</v>
      </c>
      <c r="BR21" s="84">
        <v>1.7621371579392475E-2</v>
      </c>
      <c r="BS21" s="84">
        <v>5.6400621019918606E-3</v>
      </c>
      <c r="BT21" s="84">
        <v>6.3025008990875708E-3</v>
      </c>
      <c r="BU21" s="84">
        <v>9.9915932953371644E-3</v>
      </c>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68"/>
      <c r="CW21" s="51"/>
      <c r="CX21" s="48"/>
      <c r="CY21" s="48"/>
      <c r="CZ21" s="48">
        <v>5.8385947181474496E-2</v>
      </c>
      <c r="DA21" s="48">
        <v>5.910683255331084E-2</v>
      </c>
      <c r="DB21" s="48">
        <v>6.4074707959081545E-2</v>
      </c>
      <c r="DC21" s="48">
        <v>0.1067302813397506</v>
      </c>
      <c r="DD21" s="48">
        <v>6.2879882132213849E-2</v>
      </c>
      <c r="DE21" s="48">
        <v>2.9474213204347066E-2</v>
      </c>
      <c r="DF21" s="549">
        <v>3.7455811701915476E-2</v>
      </c>
      <c r="DG21" s="549">
        <v>4.306151617159526E-2</v>
      </c>
      <c r="DH21" s="549">
        <v>4.517456886424509E-2</v>
      </c>
      <c r="DI21" s="549">
        <v>0.10060982737443336</v>
      </c>
      <c r="DJ21" s="549">
        <v>5.7850929078894886E-2</v>
      </c>
      <c r="DK21" s="549">
        <v>4.62119000508181E-2</v>
      </c>
      <c r="DL21" s="49">
        <v>4.8311967483947837E-2</v>
      </c>
      <c r="DM21" s="51">
        <v>4.2643475811562581E-2</v>
      </c>
      <c r="DN21" s="51">
        <v>4.0100000000000025E-2</v>
      </c>
      <c r="DO21" s="63">
        <v>4.0100000000000025E-2</v>
      </c>
      <c r="DP21" s="63">
        <v>4.0100000000000025E-2</v>
      </c>
      <c r="DQ21" s="63">
        <v>4.0100000000000025E-2</v>
      </c>
      <c r="DR21" s="63">
        <v>4.0100000000000025E-2</v>
      </c>
      <c r="DS21" s="63">
        <v>4.0100000000000025E-2</v>
      </c>
      <c r="DT21" s="63">
        <v>4.0100000000000025E-2</v>
      </c>
      <c r="DU21" s="63">
        <v>4.0100000000000025E-2</v>
      </c>
      <c r="DV21" s="63">
        <v>4.0100000000000025E-2</v>
      </c>
      <c r="DW21" s="63">
        <v>4.0100000000000025E-2</v>
      </c>
      <c r="DX21" s="63">
        <v>4.0100000000000025E-2</v>
      </c>
      <c r="DY21" s="63">
        <v>4.0100000000000025E-2</v>
      </c>
      <c r="DZ21" s="63">
        <v>4.0100000000000025E-2</v>
      </c>
      <c r="EA21" s="63">
        <v>4.0100000000000025E-2</v>
      </c>
      <c r="EB21" s="63">
        <v>4.0100000000000025E-2</v>
      </c>
    </row>
    <row r="22" spans="1:132">
      <c r="A22" s="43" t="s">
        <v>466</v>
      </c>
      <c r="B22" s="44"/>
      <c r="C22" s="44"/>
      <c r="D22" s="44">
        <v>1.156069364161838E-2</v>
      </c>
      <c r="E22" s="44">
        <v>8.5714285714284522E-3</v>
      </c>
      <c r="F22" s="44">
        <v>1.8413597733711207E-2</v>
      </c>
      <c r="G22" s="44">
        <v>4.1724617524339092E-3</v>
      </c>
      <c r="H22" s="44">
        <v>6.9252077562327319E-3</v>
      </c>
      <c r="I22" s="44">
        <v>4.126547455295726E-2</v>
      </c>
      <c r="J22" s="44">
        <v>4.7556142668427892E-2</v>
      </c>
      <c r="K22" s="44">
        <v>-8.8272383354350836E-3</v>
      </c>
      <c r="L22" s="44">
        <v>1.1450381679389388E-2</v>
      </c>
      <c r="M22" s="44">
        <v>-1.2578616352200145E-3</v>
      </c>
      <c r="N22" s="44">
        <v>3.1486146095717871E-2</v>
      </c>
      <c r="O22" s="44">
        <v>-2.4420024420024333E-3</v>
      </c>
      <c r="P22" s="44">
        <v>0</v>
      </c>
      <c r="Q22" s="44">
        <v>1.1015911872704898E-2</v>
      </c>
      <c r="R22" s="44">
        <v>2.421307506053294E-3</v>
      </c>
      <c r="S22" s="44">
        <v>3.6231884057971175E-3</v>
      </c>
      <c r="T22" s="44">
        <v>1.4440433212996373E-2</v>
      </c>
      <c r="U22" s="44">
        <v>1.6607354685646669E-2</v>
      </c>
      <c r="V22" s="44">
        <v>2.5670945157526326E-2</v>
      </c>
      <c r="W22" s="44">
        <v>5.6882821387940208E-3</v>
      </c>
      <c r="X22" s="44">
        <v>-6.7873303167421684E-3</v>
      </c>
      <c r="Y22" s="44">
        <v>1.7084282460136713E-2</v>
      </c>
      <c r="Z22" s="44">
        <v>1.0078387458006821E-2</v>
      </c>
      <c r="AA22" s="44">
        <v>4.4345898004434225E-3</v>
      </c>
      <c r="AB22" s="44">
        <v>5.5187637969094094E-3</v>
      </c>
      <c r="AC22" s="44">
        <v>1.0976948408342402E-2</v>
      </c>
      <c r="AD22" s="44">
        <v>2.6058631921824116E-2</v>
      </c>
      <c r="AE22" s="44">
        <v>3.1746031746031633E-3</v>
      </c>
      <c r="AF22" s="44">
        <v>-5.2742616033755185E-3</v>
      </c>
      <c r="AG22" s="44">
        <v>1.4846235418876086E-2</v>
      </c>
      <c r="AH22" s="44">
        <v>1.4629049111807735E-2</v>
      </c>
      <c r="AI22" s="44">
        <v>5.1493305870236039E-3</v>
      </c>
      <c r="AJ22" s="44">
        <v>7.1721311475410054E-3</v>
      </c>
      <c r="AK22" s="44">
        <v>1.7293997965412089E-2</v>
      </c>
      <c r="AL22" s="44">
        <v>1.0999999999999899E-2</v>
      </c>
      <c r="AM22" s="44">
        <v>7.9129574678538095E-3</v>
      </c>
      <c r="AN22" s="44">
        <v>2.9440628066732533E-3</v>
      </c>
      <c r="AO22" s="44">
        <v>9.7847358121330164E-3</v>
      </c>
      <c r="AP22" s="44">
        <v>6.7829457364341206E-3</v>
      </c>
      <c r="AQ22" s="44">
        <v>8.6621751684310411E-3</v>
      </c>
      <c r="AR22" s="44">
        <v>9.5419847328259699E-4</v>
      </c>
      <c r="AS22" s="44">
        <v>1.1439466158245759E-2</v>
      </c>
      <c r="AT22" s="552">
        <v>3.7700282752122227E-3</v>
      </c>
      <c r="AU22" s="552">
        <v>-1.1267605633802802E-2</v>
      </c>
      <c r="AV22" s="552">
        <v>1.2345679012345734E-2</v>
      </c>
      <c r="AW22" s="552">
        <v>1.6885553470919357E-2</v>
      </c>
      <c r="AX22" s="552">
        <v>6.4575645756457245E-3</v>
      </c>
      <c r="AY22" s="552">
        <v>8.2493125572868919E-3</v>
      </c>
      <c r="AZ22" s="552">
        <v>3.0909090909090997E-2</v>
      </c>
      <c r="BA22" s="552">
        <v>2.1164021164021163E-2</v>
      </c>
      <c r="BB22" s="552">
        <v>3.7132987910190041E-2</v>
      </c>
      <c r="BC22" s="552">
        <v>2.164862614487939E-2</v>
      </c>
      <c r="BD22" s="552">
        <v>1.0594947025264867E-2</v>
      </c>
      <c r="BE22" s="552">
        <v>9.6774193548387899E-3</v>
      </c>
      <c r="BF22" s="552">
        <v>2.0766773162939289E-2</v>
      </c>
      <c r="BG22" s="552">
        <v>7.8247261345865127E-4</v>
      </c>
      <c r="BH22" s="552">
        <v>3.1274433150898506E-3</v>
      </c>
      <c r="BI22" s="552">
        <v>1.1691348402182333E-2</v>
      </c>
      <c r="BJ22" s="552">
        <v>2.003081664098616E-2</v>
      </c>
      <c r="BK22" s="552">
        <v>7.5528700906344337E-3</v>
      </c>
      <c r="BL22" s="552">
        <v>7.4962518740617767E-4</v>
      </c>
      <c r="BM22" s="552">
        <v>8.9887640449437534E-3</v>
      </c>
      <c r="BN22" s="552">
        <v>2.5983667409057221E-2</v>
      </c>
      <c r="BO22" s="552">
        <v>3.6179450072360009E-3</v>
      </c>
      <c r="BP22" s="45">
        <v>3.6049026676279183E-3</v>
      </c>
      <c r="BQ22" s="64">
        <v>-2.1551724137929273E-3</v>
      </c>
      <c r="BR22" s="64">
        <v>1.7631634112994687E-2</v>
      </c>
      <c r="BS22" s="64">
        <v>5.3931351544913133E-3</v>
      </c>
      <c r="BT22" s="64">
        <v>1.1545357089839526E-2</v>
      </c>
      <c r="BU22" s="64">
        <v>1.368142128738108E-2</v>
      </c>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c r="CT22" s="64"/>
      <c r="CU22" s="64"/>
      <c r="CV22" s="68"/>
      <c r="CW22" s="71"/>
      <c r="CX22" s="48"/>
      <c r="CY22" s="48"/>
      <c r="CZ22" s="48">
        <v>4.0302267002518821E-2</v>
      </c>
      <c r="DA22" s="48">
        <v>3.7530266343825724E-2</v>
      </c>
      <c r="DB22" s="48">
        <v>4.200700116686118E-2</v>
      </c>
      <c r="DC22" s="48">
        <v>3.1354983202687592E-2</v>
      </c>
      <c r="DD22" s="48">
        <v>3.9087947882736174E-2</v>
      </c>
      <c r="DE22" s="48">
        <v>4.4932079414838011E-2</v>
      </c>
      <c r="DF22" s="549">
        <v>3.2000000000000028E-2</v>
      </c>
      <c r="DG22" s="549">
        <v>2.8100775193798277E-2</v>
      </c>
      <c r="DH22" s="549">
        <v>2.1677662582469504E-2</v>
      </c>
      <c r="DI22" s="549">
        <v>6.8265682656826421E-2</v>
      </c>
      <c r="DJ22" s="549">
        <v>8.1174438687392048E-2</v>
      </c>
      <c r="DK22" s="549">
        <v>3.6741214057508076E-2</v>
      </c>
      <c r="DL22" s="49">
        <v>3.7750385208012105E-2</v>
      </c>
      <c r="DM22" s="51">
        <v>3.1180400890868709E-2</v>
      </c>
      <c r="DN22" s="51">
        <v>4.9091485826312731E-2</v>
      </c>
      <c r="DO22" s="63">
        <v>4.9091485826312731E-2</v>
      </c>
      <c r="DP22" s="63">
        <v>4.9091485826312731E-2</v>
      </c>
      <c r="DQ22" s="63">
        <v>4.9091485826312731E-2</v>
      </c>
      <c r="DR22" s="63">
        <v>4.9091485826312731E-2</v>
      </c>
      <c r="DS22" s="63">
        <v>4.9091485826312731E-2</v>
      </c>
      <c r="DT22" s="63">
        <v>4.9091485826312731E-2</v>
      </c>
      <c r="DU22" s="63">
        <v>4.9091485826312731E-2</v>
      </c>
      <c r="DV22" s="63">
        <v>4.9091485826312731E-2</v>
      </c>
      <c r="DW22" s="63">
        <v>4.9091485826312731E-2</v>
      </c>
      <c r="DX22" s="63">
        <v>4.9091485826312731E-2</v>
      </c>
      <c r="DY22" s="63">
        <v>4.9091485826312731E-2</v>
      </c>
      <c r="DZ22" s="63">
        <v>4.9091485826312731E-2</v>
      </c>
      <c r="EA22" s="63">
        <v>4.9091485826312731E-2</v>
      </c>
      <c r="EB22" s="63">
        <v>4.9091485826312731E-2</v>
      </c>
    </row>
    <row r="23" spans="1:132">
      <c r="A23" s="43" t="s">
        <v>467</v>
      </c>
      <c r="B23" s="44"/>
      <c r="C23" s="44"/>
      <c r="D23" s="44">
        <v>1.0163951244952285E-2</v>
      </c>
      <c r="E23" s="44">
        <v>1.2401841092242183E-2</v>
      </c>
      <c r="F23" s="44">
        <v>2.39341580757928E-2</v>
      </c>
      <c r="G23" s="44">
        <v>-9.7768802975111146E-3</v>
      </c>
      <c r="H23" s="44">
        <v>1.0222450639813641E-2</v>
      </c>
      <c r="I23" s="44">
        <v>1.9259988764213087E-2</v>
      </c>
      <c r="J23" s="44">
        <v>1.057639695186241E-2</v>
      </c>
      <c r="K23" s="44">
        <v>-7.5009739380773599E-3</v>
      </c>
      <c r="L23" s="44">
        <v>8.8563045951393082E-3</v>
      </c>
      <c r="M23" s="44">
        <v>2.5999359017476742E-2</v>
      </c>
      <c r="N23" s="44">
        <v>9.705318257310358E-3</v>
      </c>
      <c r="O23" s="44">
        <v>-1.7021569141688619E-3</v>
      </c>
      <c r="P23" s="44">
        <v>1.3076796529177814E-2</v>
      </c>
      <c r="Q23" s="44">
        <v>1.421340372688018E-2</v>
      </c>
      <c r="R23" s="44">
        <v>1.6373705754875845E-2</v>
      </c>
      <c r="S23" s="44">
        <v>-3.2752291561338742E-3</v>
      </c>
      <c r="T23" s="44">
        <v>6.2865110170156058E-3</v>
      </c>
      <c r="U23" s="44">
        <v>1.9940997634304569E-2</v>
      </c>
      <c r="V23" s="44">
        <v>1.4267620547188109E-2</v>
      </c>
      <c r="W23" s="44">
        <v>-3.3331254053124981E-3</v>
      </c>
      <c r="X23" s="44">
        <v>1.0795669923159501E-2</v>
      </c>
      <c r="Y23" s="44">
        <v>1.8607112690618655E-2</v>
      </c>
      <c r="Z23" s="44">
        <v>5.0660060328713286E-3</v>
      </c>
      <c r="AA23" s="44">
        <v>-5.906605789980035E-3</v>
      </c>
      <c r="AB23" s="44">
        <v>7.3387355059111314E-3</v>
      </c>
      <c r="AC23" s="44">
        <v>1.4750593715955551E-2</v>
      </c>
      <c r="AD23" s="44">
        <v>9.6937790016036196E-3</v>
      </c>
      <c r="AE23" s="44">
        <v>-6.5176287398509558E-3</v>
      </c>
      <c r="AF23" s="44">
        <v>1.1572477721552898E-2</v>
      </c>
      <c r="AG23" s="44">
        <v>1.8607157995389478E-2</v>
      </c>
      <c r="AH23" s="44">
        <v>2.915611860189693E-2</v>
      </c>
      <c r="AI23" s="44">
        <v>2.5453297790916096E-3</v>
      </c>
      <c r="AJ23" s="44">
        <v>1.1898243116309937E-2</v>
      </c>
      <c r="AK23" s="44">
        <v>2.2679993964211942E-2</v>
      </c>
      <c r="AL23" s="44">
        <v>1.2407286240662341E-2</v>
      </c>
      <c r="AM23" s="44">
        <v>-1.1629052327720713E-3</v>
      </c>
      <c r="AN23" s="44">
        <v>1.550165280524074E-2</v>
      </c>
      <c r="AO23" s="44">
        <v>2.0838907220785297E-2</v>
      </c>
      <c r="AP23" s="44">
        <v>4.4263249854397113E-3</v>
      </c>
      <c r="AQ23" s="44">
        <v>-1.7105415748578379E-3</v>
      </c>
      <c r="AR23" s="44">
        <v>6.2246488349353424E-3</v>
      </c>
      <c r="AS23" s="44">
        <v>1.9164534067075856E-2</v>
      </c>
      <c r="AT23" s="552">
        <v>8.5336152698849421E-3</v>
      </c>
      <c r="AU23" s="552">
        <v>-8.8919672775600311E-4</v>
      </c>
      <c r="AV23" s="552">
        <v>1.2843933560046095E-2</v>
      </c>
      <c r="AW23" s="552">
        <v>1.070166675916151E-2</v>
      </c>
      <c r="AX23" s="552">
        <v>2.3363930045483317E-2</v>
      </c>
      <c r="AY23" s="552">
        <v>1.0677493203605781E-2</v>
      </c>
      <c r="AZ23" s="552">
        <v>1.4006618414765803E-2</v>
      </c>
      <c r="BA23" s="552">
        <v>2.3621085330843616E-2</v>
      </c>
      <c r="BB23" s="552">
        <v>2.4303542810379497E-2</v>
      </c>
      <c r="BC23" s="552">
        <v>1.5687547333116836E-2</v>
      </c>
      <c r="BD23" s="552">
        <v>2.0705647143653083E-2</v>
      </c>
      <c r="BE23" s="552">
        <v>1.5308538905523639E-2</v>
      </c>
      <c r="BF23" s="552">
        <v>1.510934708012468E-2</v>
      </c>
      <c r="BG23" s="552">
        <v>-1.3630451206879668E-3</v>
      </c>
      <c r="BH23" s="552">
        <v>1.4865771288626872E-2</v>
      </c>
      <c r="BI23" s="552">
        <v>1.731478635106054E-2</v>
      </c>
      <c r="BJ23" s="552">
        <v>1.2782062807370043E-2</v>
      </c>
      <c r="BK23" s="552">
        <v>3.9458471636892867E-3</v>
      </c>
      <c r="BL23" s="552">
        <v>1.1040611022779867E-2</v>
      </c>
      <c r="BM23" s="552">
        <v>1.3734567901234618E-2</v>
      </c>
      <c r="BN23" s="552">
        <v>8.7858556423026091E-3</v>
      </c>
      <c r="BO23" s="552">
        <v>8.9392861505737109E-3</v>
      </c>
      <c r="BP23" s="45">
        <v>5.6408247569530445E-3</v>
      </c>
      <c r="BQ23" s="84">
        <v>1.3066849862249263E-2</v>
      </c>
      <c r="BR23" s="84">
        <v>6.918492470743054E-3</v>
      </c>
      <c r="BS23" s="84">
        <v>8.9392861505734889E-3</v>
      </c>
      <c r="BT23" s="84">
        <v>5.6408247569530445E-3</v>
      </c>
      <c r="BU23" s="84">
        <v>1.3066849862249263E-2</v>
      </c>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68"/>
      <c r="CW23" s="47"/>
      <c r="CX23" s="48"/>
      <c r="CY23" s="48"/>
      <c r="CZ23" s="48">
        <v>3.5682148898864119E-2</v>
      </c>
      <c r="DA23" s="48">
        <v>3.9741486095010048E-2</v>
      </c>
      <c r="DB23" s="48">
        <v>4.0812891473210433E-2</v>
      </c>
      <c r="DC23" s="48">
        <v>2.1307733773755944E-2</v>
      </c>
      <c r="DD23" s="48">
        <v>3.3602555060934236E-2</v>
      </c>
      <c r="DE23" s="48">
        <v>6.7731070524451598E-2</v>
      </c>
      <c r="DF23" s="549">
        <v>4.8305280499506775E-2</v>
      </c>
      <c r="DG23" s="549">
        <v>2.8285769753445988E-2</v>
      </c>
      <c r="DH23" s="549">
        <v>3.1500745747352177E-2</v>
      </c>
      <c r="DI23" s="549">
        <v>7.3551079426380284E-2</v>
      </c>
      <c r="DJ23" s="549">
        <v>7.8170286766460872E-2</v>
      </c>
      <c r="DK23" s="549">
        <v>4.6608896408861566E-2</v>
      </c>
      <c r="DL23" s="49">
        <v>4.2123393743437321E-2</v>
      </c>
      <c r="DM23" s="51">
        <v>3.6919441242778017E-2</v>
      </c>
      <c r="DN23" s="51">
        <v>3.499999999999992E-2</v>
      </c>
      <c r="DO23" s="63">
        <v>3.499999999999992E-2</v>
      </c>
      <c r="DP23" s="63">
        <v>3.499999999999992E-2</v>
      </c>
      <c r="DQ23" s="63">
        <v>3.499999999999992E-2</v>
      </c>
      <c r="DR23" s="63">
        <v>3.499999999999992E-2</v>
      </c>
      <c r="DS23" s="63">
        <v>3.499999999999992E-2</v>
      </c>
      <c r="DT23" s="63">
        <v>3.499999999999992E-2</v>
      </c>
      <c r="DU23" s="63">
        <v>3.499999999999992E-2</v>
      </c>
      <c r="DV23" s="63">
        <v>3.499999999999992E-2</v>
      </c>
      <c r="DW23" s="63">
        <v>3.499999999999992E-2</v>
      </c>
      <c r="DX23" s="63">
        <v>3.499999999999992E-2</v>
      </c>
      <c r="DY23" s="63">
        <v>3.499999999999992E-2</v>
      </c>
      <c r="DZ23" s="63">
        <v>3.499999999999992E-2</v>
      </c>
      <c r="EA23" s="63">
        <v>3.499999999999992E-2</v>
      </c>
      <c r="EB23" s="63">
        <v>3.499999999999992E-2</v>
      </c>
    </row>
    <row r="24" spans="1:132">
      <c r="A24" s="43" t="s">
        <v>468</v>
      </c>
      <c r="B24" s="44"/>
      <c r="C24" s="44"/>
      <c r="D24" s="44">
        <v>2.4733966062697732E-2</v>
      </c>
      <c r="E24" s="44">
        <v>5.3325849003647008E-3</v>
      </c>
      <c r="F24" s="44">
        <v>2.4567280848687867E-2</v>
      </c>
      <c r="G24" s="44">
        <v>5.9945504087193235E-3</v>
      </c>
      <c r="H24" s="44">
        <v>2.6002166847237218E-2</v>
      </c>
      <c r="I24" s="44">
        <v>1.1087645195353657E-2</v>
      </c>
      <c r="J24" s="44">
        <v>3.6553524804177728E-2</v>
      </c>
      <c r="K24" s="44">
        <v>1.0075566750629594E-2</v>
      </c>
      <c r="L24" s="44">
        <v>1.8453865336658382E-2</v>
      </c>
      <c r="M24" s="44">
        <v>1.8364348677766928E-2</v>
      </c>
      <c r="N24" s="44">
        <v>2.5967780716518396E-2</v>
      </c>
      <c r="O24" s="44">
        <v>1.4998828216545634E-2</v>
      </c>
      <c r="P24" s="44">
        <v>2.4474717155391179E-2</v>
      </c>
      <c r="Q24" s="44">
        <v>7.4374577417175569E-3</v>
      </c>
      <c r="R24" s="44">
        <v>3.601789709172265E-2</v>
      </c>
      <c r="S24" s="44">
        <v>1.2092420643489366E-2</v>
      </c>
      <c r="T24" s="44">
        <v>3.2003413697460958E-2</v>
      </c>
      <c r="U24" s="44">
        <v>2.8943560057888007E-3</v>
      </c>
      <c r="V24" s="44">
        <v>4.7619047619047672E-2</v>
      </c>
      <c r="W24" s="44">
        <v>5.9031877213695516E-3</v>
      </c>
      <c r="X24" s="44">
        <v>2.5234741784037507E-2</v>
      </c>
      <c r="Y24" s="44">
        <v>2.0988360999809608E-3</v>
      </c>
      <c r="Z24" s="44">
        <v>4.0555978674790438E-2</v>
      </c>
      <c r="AA24" s="44">
        <v>1.5187557182067657E-2</v>
      </c>
      <c r="AB24" s="44">
        <v>3.1002162941600631E-2</v>
      </c>
      <c r="AC24" s="44">
        <v>4.895104895104696E-3</v>
      </c>
      <c r="AD24" s="44">
        <v>5.149617258176753E-2</v>
      </c>
      <c r="AE24" s="44">
        <v>1.8365320979483846E-2</v>
      </c>
      <c r="AF24" s="44">
        <v>1.2185215272136452E-2</v>
      </c>
      <c r="AG24" s="44">
        <v>-2.7287319422150125E-3</v>
      </c>
      <c r="AH24" s="44">
        <v>3.8145823273780799E-2</v>
      </c>
      <c r="AI24" s="44">
        <v>4.9612403100773861E-3</v>
      </c>
      <c r="AJ24" s="44">
        <v>1.6352977476087771E-2</v>
      </c>
      <c r="AK24" s="44">
        <v>4.8573163327263469E-3</v>
      </c>
      <c r="AL24" s="44">
        <v>3.9123867069486451E-2</v>
      </c>
      <c r="AM24" s="44">
        <v>1.8752725686872918E-2</v>
      </c>
      <c r="AN24" s="44">
        <v>1.7836757990867591E-2</v>
      </c>
      <c r="AO24" s="44">
        <v>1.9627085377822429E-3</v>
      </c>
      <c r="AP24" s="44">
        <v>3.7358332167342967E-2</v>
      </c>
      <c r="AQ24" s="44">
        <v>1.4836795252225476E-2</v>
      </c>
      <c r="AR24" s="44">
        <v>2.1664008506113941E-2</v>
      </c>
      <c r="AS24" s="44">
        <v>1.1577988812280449E-2</v>
      </c>
      <c r="AT24" s="552">
        <v>4.0766460905349744E-2</v>
      </c>
      <c r="AU24" s="552">
        <v>2.5948350426294287E-2</v>
      </c>
      <c r="AV24" s="552">
        <v>1.7704444176803502E-2</v>
      </c>
      <c r="AW24" s="552">
        <v>6.7455621301775182E-3</v>
      </c>
      <c r="AX24" s="552">
        <v>3.0798166216057465E-2</v>
      </c>
      <c r="AY24" s="552">
        <v>1.6307446687193528E-2</v>
      </c>
      <c r="AZ24" s="552">
        <v>1.8402154398563741E-2</v>
      </c>
      <c r="BA24" s="552">
        <v>1.2009695901277873E-2</v>
      </c>
      <c r="BB24" s="552">
        <v>4.4202504082743621E-2</v>
      </c>
      <c r="BC24" s="552">
        <v>1.5535397768741577E-2</v>
      </c>
      <c r="BD24" s="552">
        <v>2.4537987679671414E-2</v>
      </c>
      <c r="BE24" s="552">
        <v>-3.206734141697587E-3</v>
      </c>
      <c r="BF24" s="552">
        <v>3.4884889916557693E-2</v>
      </c>
      <c r="BG24" s="552">
        <v>2.720031086069552E-3</v>
      </c>
      <c r="BH24" s="552">
        <v>4.2627397791126231E-3</v>
      </c>
      <c r="BI24" s="552">
        <v>8.5857611421955582E-3</v>
      </c>
      <c r="BJ24" s="552">
        <v>2.1999043519846939E-2</v>
      </c>
      <c r="BK24" s="552">
        <v>1.3944782405240996E-2</v>
      </c>
      <c r="BL24" s="552">
        <v>7.6610670112609025E-3</v>
      </c>
      <c r="BM24" s="552">
        <v>1.0259228725840508E-2</v>
      </c>
      <c r="BN24" s="552">
        <v>2.3846223592347338E-2</v>
      </c>
      <c r="BO24" s="552">
        <v>3.453772582359127E-3</v>
      </c>
      <c r="BP24" s="45">
        <v>4.4126731974230005E-3</v>
      </c>
      <c r="BQ24" s="64">
        <v>4.4811527985237909E-3</v>
      </c>
      <c r="BR24" s="64">
        <v>3.4884889916557693E-2</v>
      </c>
      <c r="BS24" s="64">
        <v>1.5535397768741577E-2</v>
      </c>
      <c r="BT24" s="64">
        <v>1.7704444176803502E-2</v>
      </c>
      <c r="BU24" s="64">
        <v>8.5857611421955582E-3</v>
      </c>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8"/>
      <c r="CW24" s="47"/>
      <c r="CX24" s="48"/>
      <c r="CY24" s="48"/>
      <c r="CZ24" s="48"/>
      <c r="DA24" s="48"/>
      <c r="DB24" s="48">
        <v>8.2663368377654312E-2</v>
      </c>
      <c r="DC24" s="48">
        <v>9.4440213252094285E-2</v>
      </c>
      <c r="DD24" s="48">
        <v>8.0897703549060562E-2</v>
      </c>
      <c r="DE24" s="48">
        <v>6.5507806212779629E-2</v>
      </c>
      <c r="DF24" s="549">
        <v>7.9607250755286962E-2</v>
      </c>
      <c r="DG24" s="549">
        <v>8.8008954806212403E-2</v>
      </c>
      <c r="DH24" s="549">
        <v>9.4007201646090444E-2</v>
      </c>
      <c r="DI24" s="549">
        <v>7.969907135300347E-2</v>
      </c>
      <c r="DJ24" s="549">
        <v>8.2961350027218383E-2</v>
      </c>
      <c r="DK24" s="549">
        <v>5.107067457524872E-2</v>
      </c>
      <c r="DL24" s="49">
        <v>5.4901960784313752E-2</v>
      </c>
      <c r="DM24" s="51">
        <v>3.6540030827817427E-2</v>
      </c>
      <c r="DN24" s="51">
        <v>7.8752004055807401E-2</v>
      </c>
      <c r="DO24" s="63">
        <v>7.8752004055807401E-2</v>
      </c>
      <c r="DP24" s="63">
        <v>7.8752004055807401E-2</v>
      </c>
      <c r="DQ24" s="63">
        <v>7.8752004055807401E-2</v>
      </c>
      <c r="DR24" s="63">
        <v>7.8752004055807401E-2</v>
      </c>
      <c r="DS24" s="63">
        <v>7.8752004055807401E-2</v>
      </c>
      <c r="DT24" s="63">
        <v>7.8752004055807401E-2</v>
      </c>
      <c r="DU24" s="63">
        <v>7.8752004055807401E-2</v>
      </c>
      <c r="DV24" s="63">
        <v>7.8752004055807401E-2</v>
      </c>
      <c r="DW24" s="63">
        <v>7.8752004055807401E-2</v>
      </c>
      <c r="DX24" s="63">
        <v>7.8752004055807401E-2</v>
      </c>
      <c r="DY24" s="63">
        <v>7.8752004055807401E-2</v>
      </c>
      <c r="DZ24" s="63">
        <v>7.8752004055807401E-2</v>
      </c>
      <c r="EA24" s="63">
        <v>7.8752004055807401E-2</v>
      </c>
      <c r="EB24" s="63">
        <v>7.8752004055807401E-2</v>
      </c>
    </row>
    <row r="25" spans="1:132">
      <c r="A25" s="53" t="s">
        <v>469</v>
      </c>
      <c r="B25" s="44"/>
      <c r="C25" s="44"/>
      <c r="D25" s="44"/>
      <c r="E25" s="44"/>
      <c r="F25" s="44">
        <v>-4.5041422022039646E-3</v>
      </c>
      <c r="G25" s="44">
        <v>1.4704694190837753E-2</v>
      </c>
      <c r="H25" s="44">
        <v>-1.2739867823871043E-3</v>
      </c>
      <c r="I25" s="44">
        <v>2.0842587214268571E-2</v>
      </c>
      <c r="J25" s="44">
        <v>1.3722930682464884E-3</v>
      </c>
      <c r="K25" s="44">
        <v>1.068476056777401E-2</v>
      </c>
      <c r="L25" s="44">
        <v>-1.6976618566246771E-3</v>
      </c>
      <c r="M25" s="44">
        <v>1.3284157289722653E-2</v>
      </c>
      <c r="N25" s="44">
        <v>-3.3129182014342007E-3</v>
      </c>
      <c r="O25" s="44">
        <v>1.0660631109361773E-2</v>
      </c>
      <c r="P25" s="44">
        <v>1.3155474776324505E-2</v>
      </c>
      <c r="Q25" s="44">
        <v>7.9552371087785456E-3</v>
      </c>
      <c r="R25" s="44">
        <v>-7.5852278746530999E-3</v>
      </c>
      <c r="S25" s="44">
        <v>7.0667606054783949E-3</v>
      </c>
      <c r="T25" s="44">
        <v>-3.9325842696630309E-3</v>
      </c>
      <c r="U25" s="44">
        <v>7.0555183092297913E-3</v>
      </c>
      <c r="V25" s="44">
        <v>-1.1528869726942337E-2</v>
      </c>
      <c r="W25" s="44">
        <v>9.4076394308379996E-3</v>
      </c>
      <c r="X25" s="44">
        <v>-6.3227459993010493E-3</v>
      </c>
      <c r="Y25" s="44">
        <v>-1.8971691678034697E-3</v>
      </c>
      <c r="Z25" s="44">
        <v>-7.752600217841632E-3</v>
      </c>
      <c r="AA25" s="44">
        <v>1.6724063710718884E-2</v>
      </c>
      <c r="AB25" s="44">
        <v>-1.5612761182971058E-2</v>
      </c>
      <c r="AC25" s="44">
        <v>7.1398617189433189E-3</v>
      </c>
      <c r="AD25" s="44">
        <v>-1.627109958041062E-2</v>
      </c>
      <c r="AE25" s="44">
        <v>1.7191417315143509E-2</v>
      </c>
      <c r="AF25" s="44">
        <v>-5.9537146698248611E-3</v>
      </c>
      <c r="AG25" s="44">
        <v>2.1113078945956154E-2</v>
      </c>
      <c r="AH25" s="44">
        <v>-9.2818399697264242E-3</v>
      </c>
      <c r="AI25" s="44">
        <v>9.4324608218656625E-3</v>
      </c>
      <c r="AJ25" s="44">
        <v>-3.1848472744856471E-3</v>
      </c>
      <c r="AK25" s="44">
        <v>1.4287973849317348E-2</v>
      </c>
      <c r="AL25" s="44">
        <v>-8.2856845825969305E-3</v>
      </c>
      <c r="AM25" s="44">
        <v>2.0011950562410341E-2</v>
      </c>
      <c r="AN25" s="44">
        <v>-3.3298390577789494E-3</v>
      </c>
      <c r="AO25" s="44">
        <v>3.619377590793782E-3</v>
      </c>
      <c r="AP25" s="44">
        <v>-6.7811238171562316E-3</v>
      </c>
      <c r="AQ25" s="44">
        <v>1.0861806783974082E-2</v>
      </c>
      <c r="AR25" s="44">
        <v>-6.7540601111349963E-3</v>
      </c>
      <c r="AS25" s="44">
        <v>1.0684222998382564E-2</v>
      </c>
      <c r="AT25" s="552">
        <v>-1.4720274017289259E-2</v>
      </c>
      <c r="AU25" s="552">
        <v>7.5839092827878485E-3</v>
      </c>
      <c r="AV25" s="552">
        <v>-7.0339374647019337E-3</v>
      </c>
      <c r="AW25" s="552">
        <v>9.0382626680454159E-3</v>
      </c>
      <c r="AX25" s="552">
        <v>3.8432369278700307E-3</v>
      </c>
      <c r="AY25" s="552">
        <v>2.1409100654422364E-2</v>
      </c>
      <c r="AZ25" s="552">
        <v>5.2875677188493064E-3</v>
      </c>
      <c r="BA25" s="552">
        <v>3.3706189410887433E-2</v>
      </c>
      <c r="BB25" s="552">
        <v>3.4636656567113899E-2</v>
      </c>
      <c r="BC25" s="552">
        <v>2.5110164922001355E-2</v>
      </c>
      <c r="BD25" s="552">
        <v>-6.973981336211077E-3</v>
      </c>
      <c r="BE25" s="552">
        <v>3.6621673455221604E-3</v>
      </c>
      <c r="BF25" s="552">
        <v>1.1028307809898275E-2</v>
      </c>
      <c r="BG25" s="552">
        <v>1.1187011187011153E-2</v>
      </c>
      <c r="BH25" s="552">
        <v>8.8470370436299905E-3</v>
      </c>
      <c r="BI25" s="552">
        <v>-3.5289550764017186E-4</v>
      </c>
      <c r="BJ25" s="552">
        <v>1.2055635965686484E-2</v>
      </c>
      <c r="BK25" s="552">
        <v>1.3411932957775985E-2</v>
      </c>
      <c r="BL25" s="552">
        <v>-1.0351770901456003E-2</v>
      </c>
      <c r="BM25" s="552">
        <v>1.3259831839247394E-2</v>
      </c>
      <c r="BN25" s="552">
        <v>6.229941476307399E-3</v>
      </c>
      <c r="BO25" s="552">
        <v>1.3704588094831882E-2</v>
      </c>
      <c r="BP25" s="45">
        <v>-3.2136757889069667E-3</v>
      </c>
      <c r="BQ25" s="84">
        <v>8.8365615900747319E-3</v>
      </c>
      <c r="BR25" s="84">
        <v>2.3781748820401738E-3</v>
      </c>
      <c r="BS25" s="84">
        <v>1.4895080858301712E-2</v>
      </c>
      <c r="BT25" s="84">
        <v>-7.0137409545211193E-3</v>
      </c>
      <c r="BU25" s="84">
        <v>8.7375686981516765E-3</v>
      </c>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68"/>
      <c r="CW25" s="47"/>
      <c r="CX25" s="48"/>
      <c r="CY25" s="48"/>
      <c r="CZ25" s="48"/>
      <c r="DA25" s="48"/>
      <c r="DB25" s="48">
        <v>-1.0419308479161393E-2</v>
      </c>
      <c r="DC25" s="48">
        <v>1.8153471584470005E-4</v>
      </c>
      <c r="DD25" s="48">
        <v>1.5683887981380096E-2</v>
      </c>
      <c r="DE25" s="48">
        <v>1.1121389227599421E-2</v>
      </c>
      <c r="DF25" s="549">
        <v>1.1841147728454127E-2</v>
      </c>
      <c r="DG25" s="549">
        <v>7.8804878299376657E-3</v>
      </c>
      <c r="DH25" s="549">
        <v>-5.3213178926766469E-3</v>
      </c>
      <c r="DI25" s="549">
        <v>6.5499005882714734E-2</v>
      </c>
      <c r="DJ25" s="549">
        <v>5.7076900880103754E-2</v>
      </c>
      <c r="DK25" s="549">
        <v>3.101939053130609E-2</v>
      </c>
      <c r="DL25" s="49">
        <v>2.847107000388327E-2</v>
      </c>
      <c r="DM25" s="51">
        <v>2.5726397446238725E-2</v>
      </c>
      <c r="DN25" s="51">
        <v>1.9000000000000128E-2</v>
      </c>
      <c r="DO25" s="63">
        <v>1.9000000000000128E-2</v>
      </c>
      <c r="DP25" s="63">
        <v>1.9000000000000128E-2</v>
      </c>
      <c r="DQ25" s="63">
        <v>1.9000000000000128E-2</v>
      </c>
      <c r="DR25" s="63">
        <v>1.9000000000000128E-2</v>
      </c>
      <c r="DS25" s="63">
        <v>1.9000000000000128E-2</v>
      </c>
      <c r="DT25" s="63">
        <v>1.9000000000000128E-2</v>
      </c>
      <c r="DU25" s="63">
        <v>1.9000000000000128E-2</v>
      </c>
      <c r="DV25" s="63">
        <v>1.9000000000000128E-2</v>
      </c>
      <c r="DW25" s="63">
        <v>1.9000000000000128E-2</v>
      </c>
      <c r="DX25" s="63">
        <v>1.9000000000000128E-2</v>
      </c>
      <c r="DY25" s="63">
        <v>1.9000000000000128E-2</v>
      </c>
      <c r="DZ25" s="63">
        <v>1.9000000000000128E-2</v>
      </c>
      <c r="EA25" s="63">
        <v>1.9000000000000128E-2</v>
      </c>
      <c r="EB25" s="63">
        <v>1.9000000000000128E-2</v>
      </c>
    </row>
    <row r="26" spans="1:132">
      <c r="A26" s="5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552"/>
      <c r="AU26" s="552"/>
      <c r="AV26" s="552"/>
      <c r="AW26" s="552"/>
      <c r="AX26" s="552"/>
      <c r="AY26" s="552"/>
      <c r="AZ26" s="552"/>
      <c r="BA26" s="552"/>
      <c r="BB26" s="552"/>
      <c r="BC26" s="552"/>
      <c r="BD26" s="552"/>
      <c r="BE26" s="552"/>
      <c r="BF26" s="552"/>
      <c r="BG26" s="552"/>
      <c r="BH26" s="552"/>
      <c r="BI26" s="552"/>
      <c r="BJ26" s="552"/>
      <c r="BK26" s="552"/>
      <c r="BL26" s="552"/>
      <c r="BM26" s="552"/>
      <c r="BN26" s="552"/>
      <c r="BO26" s="552"/>
      <c r="BP26" s="45"/>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47"/>
      <c r="CW26" s="96"/>
      <c r="CX26" s="48"/>
      <c r="CY26" s="48"/>
      <c r="CZ26" s="48"/>
      <c r="DA26" s="48"/>
      <c r="DB26" s="48"/>
      <c r="DC26" s="48"/>
      <c r="DD26" s="48"/>
      <c r="DE26" s="48"/>
      <c r="DF26" s="549"/>
      <c r="DG26" s="549"/>
      <c r="DH26" s="549"/>
      <c r="DI26" s="549"/>
      <c r="DJ26" s="549"/>
      <c r="DK26" s="549"/>
      <c r="DL26" s="49"/>
      <c r="DM26" s="51"/>
      <c r="DN26" s="51"/>
      <c r="DO26" s="63"/>
      <c r="DP26" s="63"/>
      <c r="DQ26" s="63"/>
      <c r="DR26" s="63"/>
      <c r="DS26" s="63"/>
      <c r="DT26" s="63"/>
      <c r="DU26" s="63"/>
      <c r="DV26" s="63"/>
      <c r="DW26" s="63"/>
      <c r="DX26" s="63"/>
      <c r="DY26" s="63"/>
      <c r="DZ26" s="63"/>
      <c r="EA26" s="63"/>
      <c r="EB26" s="63"/>
    </row>
    <row r="27" spans="1:132">
      <c r="A27" s="55" t="s">
        <v>470</v>
      </c>
      <c r="B27" s="44"/>
      <c r="C27" s="44"/>
      <c r="D27" s="44"/>
      <c r="E27" s="44"/>
      <c r="F27" s="44" t="e">
        <v>#DIV/0!</v>
      </c>
      <c r="G27" s="44" t="e">
        <v>#DIV/0!</v>
      </c>
      <c r="H27" s="44" t="e">
        <v>#DIV/0!</v>
      </c>
      <c r="I27" s="44" t="e">
        <v>#DIV/0!</v>
      </c>
      <c r="J27" s="44" t="e">
        <v>#DIV/0!</v>
      </c>
      <c r="K27" s="44" t="e">
        <v>#DIV/0!</v>
      </c>
      <c r="L27" s="44" t="e">
        <v>#DIV/0!</v>
      </c>
      <c r="M27" s="44" t="e">
        <v>#DIV/0!</v>
      </c>
      <c r="N27" s="44" t="e">
        <v>#DIV/0!</v>
      </c>
      <c r="O27" s="44" t="e">
        <v>#DIV/0!</v>
      </c>
      <c r="P27" s="44" t="e">
        <v>#DIV/0!</v>
      </c>
      <c r="Q27" s="44" t="e">
        <v>#DIV/0!</v>
      </c>
      <c r="R27" s="44" t="e">
        <v>#DIV/0!</v>
      </c>
      <c r="S27" s="44" t="e">
        <v>#DIV/0!</v>
      </c>
      <c r="T27" s="44" t="e">
        <v>#DIV/0!</v>
      </c>
      <c r="U27" s="44" t="e">
        <v>#DIV/0!</v>
      </c>
      <c r="V27" s="44" t="e">
        <v>#DIV/0!</v>
      </c>
      <c r="W27" s="44">
        <v>2.0620682544592261E-2</v>
      </c>
      <c r="X27" s="44">
        <v>1.1112233558945528E-2</v>
      </c>
      <c r="Y27" s="44">
        <v>-1.6984713757618453E-3</v>
      </c>
      <c r="Z27" s="44">
        <v>2.0016012810253336E-4</v>
      </c>
      <c r="AA27" s="44">
        <v>6.0036021612974722E-4</v>
      </c>
      <c r="AB27" s="44">
        <v>-7.8000000000000291E-3</v>
      </c>
      <c r="AC27" s="44">
        <v>-1.0078613182825658E-3</v>
      </c>
      <c r="AD27" s="44">
        <v>-2.6230831315577907E-3</v>
      </c>
      <c r="AE27" s="44">
        <v>2.6299817924337887E-3</v>
      </c>
      <c r="AF27" s="44">
        <v>4.842615012106366E-3</v>
      </c>
      <c r="AG27" s="44">
        <v>2.7108433734941428E-3</v>
      </c>
      <c r="AH27" s="44">
        <v>5.5071593070992186E-3</v>
      </c>
      <c r="AI27" s="44">
        <v>4.5807608046204429E-3</v>
      </c>
      <c r="AJ27" s="44">
        <v>3.5685963521014941E-3</v>
      </c>
      <c r="AK27" s="44">
        <v>1.1951797708415812E-2</v>
      </c>
      <c r="AL27" s="44">
        <v>5.8565153733527442E-3</v>
      </c>
      <c r="AM27" s="44">
        <v>-1.9408054342551218E-4</v>
      </c>
      <c r="AN27" s="44">
        <v>4.3676599048820819E-3</v>
      </c>
      <c r="AO27" s="44">
        <v>1.0050251256281229E-2</v>
      </c>
      <c r="AP27" s="44">
        <v>-9.5675468809730546E-5</v>
      </c>
      <c r="AQ27" s="44">
        <v>9.7598315950626624E-3</v>
      </c>
      <c r="AR27" s="44">
        <v>5.3065479010707683E-3</v>
      </c>
      <c r="AS27" s="44">
        <v>1.8851918182671845E-4</v>
      </c>
      <c r="AT27" s="552">
        <v>3.6754311563471642E-3</v>
      </c>
      <c r="AU27" s="552">
        <v>-6.0093896713615536E-3</v>
      </c>
      <c r="AV27" s="552">
        <v>5.1955412809370216E-3</v>
      </c>
      <c r="AW27" s="552">
        <v>6.1084484540927519E-3</v>
      </c>
      <c r="AX27" s="552">
        <v>-6.6411358116943764E-2</v>
      </c>
      <c r="AY27" s="552">
        <v>8.1040520260129423E-3</v>
      </c>
      <c r="AZ27" s="552">
        <v>7.0464470027788995E-3</v>
      </c>
      <c r="BA27" s="552">
        <v>1.8034887158766111E-2</v>
      </c>
      <c r="BB27" s="552">
        <v>2.3620522749273842E-2</v>
      </c>
      <c r="BC27" s="552">
        <v>4.8704369207490217E-2</v>
      </c>
      <c r="BD27" s="552">
        <v>9.8295608260439149E-3</v>
      </c>
      <c r="BE27" s="552">
        <v>-4.8222896945884219E-3</v>
      </c>
      <c r="BF27" s="552">
        <v>-9.2426417803301852E-3</v>
      </c>
      <c r="BG27" s="552">
        <v>-6.0682909156779541E-3</v>
      </c>
      <c r="BH27" s="552">
        <v>-2.3692363768907931E-3</v>
      </c>
      <c r="BI27" s="552">
        <v>-9.1340884179835768E-5</v>
      </c>
      <c r="BJ27" s="552">
        <v>-3.3799214396639243E-3</v>
      </c>
      <c r="BK27" s="552">
        <v>5.5912007332721281E-3</v>
      </c>
      <c r="BL27" s="552">
        <v>-3.4636769665481459E-3</v>
      </c>
      <c r="BM27" s="552">
        <v>9.695417543217788E-3</v>
      </c>
      <c r="BN27" s="552">
        <v>2.7176374671622483E-4</v>
      </c>
      <c r="BO27" s="552">
        <v>-8.6035138561855184E-3</v>
      </c>
      <c r="BP27" s="45">
        <v>-1.1235955056179803E-2</v>
      </c>
      <c r="BQ27" s="64">
        <v>7.3909830007392596E-3</v>
      </c>
      <c r="BR27" s="64">
        <v>-1.0347593486263374E-2</v>
      </c>
      <c r="BS27" s="64">
        <v>1.0064388275947156E-2</v>
      </c>
      <c r="BT27" s="64">
        <v>3.2477271532641793E-3</v>
      </c>
      <c r="BU27" s="64">
        <v>5.7850245154616783E-3</v>
      </c>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64"/>
      <c r="CT27" s="64"/>
      <c r="CU27" s="64"/>
      <c r="CV27" s="47"/>
      <c r="CW27" s="47"/>
      <c r="CX27" s="48"/>
      <c r="CY27" s="48"/>
      <c r="CZ27" s="48"/>
      <c r="DA27" s="48"/>
      <c r="DB27" s="48" t="e">
        <v>#DIV/0!</v>
      </c>
      <c r="DC27" s="48">
        <v>-8.0064051240992251E-3</v>
      </c>
      <c r="DD27" s="48">
        <v>7.5665859564164606E-3</v>
      </c>
      <c r="DE27" s="48">
        <v>2.5833583658756432E-2</v>
      </c>
      <c r="DF27" s="549">
        <v>2.0204978038067312E-2</v>
      </c>
      <c r="DG27" s="549">
        <v>1.5212399540757815E-2</v>
      </c>
      <c r="DH27" s="549">
        <v>8.9529733295636849E-3</v>
      </c>
      <c r="DI27" s="549">
        <v>-3.5120493181393653E-2</v>
      </c>
      <c r="DJ27" s="549">
        <v>7.8799612778315486E-2</v>
      </c>
      <c r="DK27" s="549">
        <v>-1.7677674084709216E-2</v>
      </c>
      <c r="DL27" s="49">
        <v>8.4041289851100043E-3</v>
      </c>
      <c r="DM27" s="51">
        <v>-1.2229368602228452E-2</v>
      </c>
      <c r="DN27" s="51">
        <v>8.6606863505362952E-3</v>
      </c>
      <c r="DO27" s="63">
        <v>8.6606863505362952E-3</v>
      </c>
      <c r="DP27" s="63">
        <v>8.6606863505362952E-3</v>
      </c>
      <c r="DQ27" s="63">
        <v>8.6606863505362952E-3</v>
      </c>
      <c r="DR27" s="63">
        <v>8.6606863505362952E-3</v>
      </c>
      <c r="DS27" s="63">
        <v>8.6606863505362952E-3</v>
      </c>
      <c r="DT27" s="63">
        <v>8.6606863505362952E-3</v>
      </c>
      <c r="DU27" s="63">
        <v>8.6606863505362952E-3</v>
      </c>
      <c r="DV27" s="63">
        <v>8.6606863505362952E-3</v>
      </c>
      <c r="DW27" s="63">
        <v>8.6606863505362952E-3</v>
      </c>
      <c r="DX27" s="63">
        <v>8.6606863505362952E-3</v>
      </c>
      <c r="DY27" s="63">
        <v>8.6606863505362952E-3</v>
      </c>
      <c r="DZ27" s="63">
        <v>8.6606863505362952E-3</v>
      </c>
      <c r="EA27" s="63">
        <v>8.6606863505362952E-3</v>
      </c>
      <c r="EB27" s="63">
        <v>8.6606863505362952E-3</v>
      </c>
    </row>
    <row r="28" spans="1:132">
      <c r="A28" s="55" t="s">
        <v>471</v>
      </c>
      <c r="B28" s="44"/>
      <c r="C28" s="44"/>
      <c r="D28" s="44"/>
      <c r="E28" s="44"/>
      <c r="F28" s="44">
        <v>8.899999999999908E-3</v>
      </c>
      <c r="G28" s="44">
        <v>6.9382495787495557E-4</v>
      </c>
      <c r="H28" s="44">
        <v>1.4857369255150132E-3</v>
      </c>
      <c r="I28" s="44">
        <v>1.0088022945307085E-2</v>
      </c>
      <c r="J28" s="44">
        <v>1.4687163419171645E-2</v>
      </c>
      <c r="K28" s="44">
        <v>3.5317958120235637E-2</v>
      </c>
      <c r="L28" s="44">
        <v>1.0252586447945244E-3</v>
      </c>
      <c r="M28" s="44">
        <v>-1.0242085661079647E-3</v>
      </c>
      <c r="N28" s="44">
        <v>8.1088638270108149E-3</v>
      </c>
      <c r="O28" s="44">
        <v>-2.0340236686390289E-3</v>
      </c>
      <c r="P28" s="44">
        <v>2.7793218454696955E-3</v>
      </c>
      <c r="Q28" s="44">
        <v>-1.0162601626015899E-3</v>
      </c>
      <c r="R28" s="44">
        <v>1.303985942846575E-2</v>
      </c>
      <c r="S28" s="44">
        <v>-5.7513237173636433E-3</v>
      </c>
      <c r="T28" s="44">
        <v>1.3772839959600436E-3</v>
      </c>
      <c r="U28" s="44">
        <v>-7.335411699981309E-4</v>
      </c>
      <c r="V28" s="44">
        <v>9.2677555514772969E-3</v>
      </c>
      <c r="W28" s="44">
        <v>1.454677697972695E-3</v>
      </c>
      <c r="X28" s="44">
        <v>6.8996822514750811E-3</v>
      </c>
      <c r="Y28" s="44">
        <v>-1.2713010549093795E-2</v>
      </c>
      <c r="Z28" s="44">
        <v>-3.6529680365297024E-3</v>
      </c>
      <c r="AA28" s="44">
        <v>1.2832263978002079E-3</v>
      </c>
      <c r="AB28" s="44">
        <v>-7.5979494690588956E-3</v>
      </c>
      <c r="AC28" s="44">
        <v>2.0293330873535576E-2</v>
      </c>
      <c r="AD28" s="44">
        <v>-2.62182442817116E-3</v>
      </c>
      <c r="AE28" s="44">
        <v>-7.2516316171133965E-4</v>
      </c>
      <c r="AF28" s="44">
        <v>-6.6219158200289119E-3</v>
      </c>
      <c r="AG28" s="44">
        <v>6.3921103095609944E-4</v>
      </c>
      <c r="AH28" s="44">
        <v>1.2228508851980235E-2</v>
      </c>
      <c r="AI28" s="44">
        <v>3.0652722683015554E-3</v>
      </c>
      <c r="AJ28" s="44">
        <v>-3.5951824555102707E-4</v>
      </c>
      <c r="AK28" s="44">
        <v>5.3048012947312095E-3</v>
      </c>
      <c r="AL28" s="44">
        <v>1.0732492621412515E-3</v>
      </c>
      <c r="AM28" s="44">
        <v>2.9482712409540923E-3</v>
      </c>
      <c r="AN28" s="44">
        <v>4.4539461963299942E-3</v>
      </c>
      <c r="AO28" s="44">
        <v>-4.07946080170285E-3</v>
      </c>
      <c r="AP28" s="44">
        <v>3.4728406055208882E-3</v>
      </c>
      <c r="AQ28" s="44">
        <v>1.419824296743144E-3</v>
      </c>
      <c r="AR28" s="44">
        <v>-7.6207354895879709E-3</v>
      </c>
      <c r="AS28" s="44">
        <v>2.6788106080901652E-3</v>
      </c>
      <c r="AT28" s="552">
        <v>-1.7811025024490057E-3</v>
      </c>
      <c r="AU28" s="552">
        <v>4.4607012222321885E-3</v>
      </c>
      <c r="AV28" s="552">
        <v>-9.14823696598277E-3</v>
      </c>
      <c r="AW28" s="552">
        <v>5.7368232341341585E-3</v>
      </c>
      <c r="AX28" s="552">
        <v>1.6755793226381321E-2</v>
      </c>
      <c r="AY28" s="552">
        <v>1.2535063113604528E-2</v>
      </c>
      <c r="AZ28" s="552">
        <v>1.3765041987706672E-2</v>
      </c>
      <c r="BA28" s="552">
        <v>1.6737830913748919E-2</v>
      </c>
      <c r="BB28" s="552">
        <v>2.2173693935830574E-2</v>
      </c>
      <c r="BC28" s="552">
        <v>2.3007395234182493E-2</v>
      </c>
      <c r="BD28" s="552">
        <v>1.1244979919678766E-2</v>
      </c>
      <c r="BE28" s="552">
        <v>1.4853057982525675E-2</v>
      </c>
      <c r="BF28" s="552">
        <v>1.0252797996399998E-2</v>
      </c>
      <c r="BG28" s="552">
        <v>7.747133560582764E-4</v>
      </c>
      <c r="BH28" s="552">
        <v>3.7931568354232503E-3</v>
      </c>
      <c r="BI28" s="552">
        <v>-2.5449217243771471E-3</v>
      </c>
      <c r="BJ28" s="552">
        <v>5.7213545693521883E-3</v>
      </c>
      <c r="BK28" s="552">
        <v>7.7644526445264095E-3</v>
      </c>
      <c r="BL28" s="552">
        <v>-5.1109924479366686E-3</v>
      </c>
      <c r="BM28" s="552">
        <v>-5.4439503143688395E-3</v>
      </c>
      <c r="BN28" s="552">
        <v>4.2402282013722647E-3</v>
      </c>
      <c r="BO28" s="552">
        <v>4.6061722708430342E-3</v>
      </c>
      <c r="BP28" s="45">
        <v>2.2925263640516391E-4</v>
      </c>
      <c r="BQ28" s="64">
        <v>0</v>
      </c>
      <c r="BR28" s="64">
        <v>1.0624507445103015E-2</v>
      </c>
      <c r="BS28" s="64">
        <v>9.7084651141207783E-3</v>
      </c>
      <c r="BT28" s="64">
        <v>2.9087898657778498E-3</v>
      </c>
      <c r="BU28" s="64">
        <v>5.8677680183325531E-3</v>
      </c>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47"/>
      <c r="CW28" s="47"/>
      <c r="CX28" s="48"/>
      <c r="CY28" s="48"/>
      <c r="CZ28" s="48"/>
      <c r="DA28" s="48"/>
      <c r="DB28" s="48">
        <v>4.7715177096714356E-3</v>
      </c>
      <c r="DC28" s="48">
        <v>1.0136986301369832E-2</v>
      </c>
      <c r="DD28" s="48">
        <v>-9.3119971069524077E-3</v>
      </c>
      <c r="DE28" s="48">
        <v>2.0350428910385077E-2</v>
      </c>
      <c r="DF28" s="549">
        <v>4.3824344870762033E-3</v>
      </c>
      <c r="DG28" s="549">
        <v>-8.9047195013236546E-5</v>
      </c>
      <c r="DH28" s="549">
        <v>-8.0149612610214138E-4</v>
      </c>
      <c r="DI28" s="549">
        <v>6.114081996434928E-2</v>
      </c>
      <c r="DJ28" s="549">
        <v>7.3156391735259563E-2</v>
      </c>
      <c r="DK28" s="549">
        <v>1.2287704468967764E-2</v>
      </c>
      <c r="DL28" s="49">
        <v>2.8606772846759831E-3</v>
      </c>
      <c r="DM28" s="51">
        <v>9.0972168683984833E-3</v>
      </c>
      <c r="DN28" s="51">
        <v>2.940945380522364E-2</v>
      </c>
      <c r="DO28" s="63">
        <v>2.940945380522364E-2</v>
      </c>
      <c r="DP28" s="63">
        <v>2.940945380522364E-2</v>
      </c>
      <c r="DQ28" s="63">
        <v>2.940945380522364E-2</v>
      </c>
      <c r="DR28" s="63">
        <v>2.940945380522364E-2</v>
      </c>
      <c r="DS28" s="63">
        <v>2.940945380522364E-2</v>
      </c>
      <c r="DT28" s="63">
        <v>2.940945380522364E-2</v>
      </c>
      <c r="DU28" s="63">
        <v>2.940945380522364E-2</v>
      </c>
      <c r="DV28" s="63">
        <v>2.940945380522364E-2</v>
      </c>
      <c r="DW28" s="63">
        <v>2.940945380522364E-2</v>
      </c>
      <c r="DX28" s="63">
        <v>2.940945380522364E-2</v>
      </c>
      <c r="DY28" s="63">
        <v>2.940945380522364E-2</v>
      </c>
      <c r="DZ28" s="63">
        <v>2.940945380522364E-2</v>
      </c>
      <c r="EA28" s="63">
        <v>2.940945380522364E-2</v>
      </c>
      <c r="EB28" s="63">
        <v>2.940945380522364E-2</v>
      </c>
    </row>
    <row r="29" spans="1:132" s="553" customFormat="1" ht="11.25">
      <c r="A29" s="55" t="s">
        <v>472</v>
      </c>
      <c r="B29" s="44"/>
      <c r="C29" s="44"/>
      <c r="D29" s="44"/>
      <c r="E29" s="44"/>
      <c r="F29" s="44">
        <v>-0.69661258495943867</v>
      </c>
      <c r="G29" s="44">
        <v>3.0713640469737236E-3</v>
      </c>
      <c r="H29" s="44">
        <v>7.0244956772334E-3</v>
      </c>
      <c r="I29" s="44">
        <v>1.3950992666786011E-2</v>
      </c>
      <c r="J29" s="44">
        <v>2.3990121714588142E-2</v>
      </c>
      <c r="K29" s="44">
        <v>1.7915590008613425E-2</v>
      </c>
      <c r="L29" s="44">
        <v>1.4892536808258416E-2</v>
      </c>
      <c r="M29" s="44">
        <v>3.8352509588128747E-3</v>
      </c>
      <c r="N29" s="44">
        <v>9.302325581395321E-3</v>
      </c>
      <c r="O29" s="44">
        <v>6.2541145490455641E-3</v>
      </c>
      <c r="P29" s="44">
        <v>1.2921164540399044E-2</v>
      </c>
      <c r="Q29" s="44">
        <v>5.6515420636202851E-3</v>
      </c>
      <c r="R29" s="44">
        <v>1.7822736030828512E-2</v>
      </c>
      <c r="S29" s="44">
        <v>1.0727244044801854E-2</v>
      </c>
      <c r="T29" s="44">
        <v>7.335726549087207E-3</v>
      </c>
      <c r="U29" s="44">
        <v>7.2823055469475317E-3</v>
      </c>
      <c r="V29" s="44">
        <v>6.7681895093061328E-3</v>
      </c>
      <c r="W29" s="44">
        <v>9.6256684491977662E-3</v>
      </c>
      <c r="X29" s="44">
        <v>1.0441888619854733E-2</v>
      </c>
      <c r="Y29" s="44">
        <v>2.3962857570767326E-3</v>
      </c>
      <c r="Z29" s="44">
        <v>1.64350814283587E-3</v>
      </c>
      <c r="AA29" s="44">
        <v>9.0990453460619847E-3</v>
      </c>
      <c r="AB29" s="44">
        <v>5.4693274205468434E-3</v>
      </c>
      <c r="AC29" s="44">
        <v>1.411349603057932E-2</v>
      </c>
      <c r="AD29" s="44">
        <v>1.3337199188170556E-2</v>
      </c>
      <c r="AE29" s="44">
        <v>1.0729613733905685E-2</v>
      </c>
      <c r="AF29" s="44">
        <v>6.652512384996534E-3</v>
      </c>
      <c r="AG29" s="44">
        <v>1.0967379077615247E-2</v>
      </c>
      <c r="AH29" s="44">
        <v>1.0987482614742694E-2</v>
      </c>
      <c r="AI29" s="44">
        <v>1.4307332507910386E-2</v>
      </c>
      <c r="AJ29" s="44">
        <v>6.6458700664586701E-3</v>
      </c>
      <c r="AK29" s="44">
        <v>2.3713284828887238E-2</v>
      </c>
      <c r="AL29" s="44">
        <v>-3.6851803106080494E-3</v>
      </c>
      <c r="AM29" s="44">
        <v>1.0964332892998696E-2</v>
      </c>
      <c r="AN29" s="44">
        <v>1.3981445184894747E-2</v>
      </c>
      <c r="AO29" s="44">
        <v>1.8041237113401998E-3</v>
      </c>
      <c r="AP29" s="44">
        <v>1.4406997684589751E-2</v>
      </c>
      <c r="AQ29" s="44">
        <v>1.6992137966015841E-2</v>
      </c>
      <c r="AR29" s="44">
        <v>-1.4962593516209544E-2</v>
      </c>
      <c r="AS29" s="44">
        <v>1.7468354430379751E-2</v>
      </c>
      <c r="AT29" s="552">
        <v>-1.6173177407314832E-3</v>
      </c>
      <c r="AU29" s="552">
        <v>2.3302180685358387E-2</v>
      </c>
      <c r="AV29" s="552">
        <v>9.7418412079883776E-3</v>
      </c>
      <c r="AW29" s="552">
        <v>1.6160154365653767E-2</v>
      </c>
      <c r="AX29" s="552">
        <v>8.0702587230001566E-3</v>
      </c>
      <c r="AY29" s="552">
        <v>4.5914763362373545E-3</v>
      </c>
      <c r="AZ29" s="552">
        <v>7.5002929801946117E-3</v>
      </c>
      <c r="BA29" s="552">
        <v>1.0236128882168183E-2</v>
      </c>
      <c r="BB29" s="552">
        <v>1.8767990788716382E-2</v>
      </c>
      <c r="BC29" s="552">
        <v>3.7183544303797333E-2</v>
      </c>
      <c r="BD29" s="552">
        <v>2.1357742181540962E-2</v>
      </c>
      <c r="BE29" s="552">
        <v>1.2162594686866646E-2</v>
      </c>
      <c r="BF29" s="552">
        <v>1.3913776747127571E-2</v>
      </c>
      <c r="BG29" s="552">
        <v>1.1435700176734009E-3</v>
      </c>
      <c r="BH29" s="552">
        <v>1.9003115264797588E-2</v>
      </c>
      <c r="BI29" s="552">
        <v>7.1333944767146829E-3</v>
      </c>
      <c r="BJ29" s="552">
        <v>4.7556409996964977E-3</v>
      </c>
      <c r="BK29" s="552">
        <v>4.8338368580060909E-3</v>
      </c>
      <c r="BL29" s="552">
        <v>4.2092603728203226E-3</v>
      </c>
      <c r="BM29" s="552">
        <v>3.0938123752495272E-3</v>
      </c>
      <c r="BN29" s="552">
        <v>3.4822405730772221E-3</v>
      </c>
      <c r="BO29" s="552">
        <v>6.9403133055720989E-3</v>
      </c>
      <c r="BP29" s="45">
        <v>1.0831035840881409E-3</v>
      </c>
      <c r="BQ29" s="64">
        <v>4.9178715451951849E-3</v>
      </c>
      <c r="BR29" s="64">
        <v>8.7780699035618255E-3</v>
      </c>
      <c r="BS29" s="64">
        <v>1.4210921640214513E-2</v>
      </c>
      <c r="BT29" s="64">
        <v>1.2362450401468373E-2</v>
      </c>
      <c r="BU29" s="64">
        <v>9.7572169573305612E-3</v>
      </c>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47"/>
      <c r="CW29" s="47"/>
      <c r="CX29" s="48"/>
      <c r="CY29" s="48"/>
      <c r="CZ29" s="48"/>
      <c r="DA29" s="48"/>
      <c r="DB29" s="48">
        <v>2.9533917858791003E-2</v>
      </c>
      <c r="DC29" s="48">
        <v>3.0629015389212588E-2</v>
      </c>
      <c r="DD29" s="48">
        <v>4.2331110466802047E-2</v>
      </c>
      <c r="DE29" s="48">
        <v>5.674547983310152E-2</v>
      </c>
      <c r="DF29" s="549">
        <v>2.3163990523821898E-2</v>
      </c>
      <c r="DG29" s="549">
        <v>3.3959351685104222E-2</v>
      </c>
      <c r="DH29" s="549">
        <v>4.8270714107987223E-2</v>
      </c>
      <c r="DI29" s="549">
        <v>3.0738191312603691E-2</v>
      </c>
      <c r="DJ29" s="549">
        <v>9.2343120322395E-2</v>
      </c>
      <c r="DK29" s="549">
        <v>4.1741330241382935E-2</v>
      </c>
      <c r="DL29" s="49">
        <v>1.6998886977638517E-2</v>
      </c>
      <c r="DM29" s="51">
        <v>1.6515769575166539E-2</v>
      </c>
      <c r="DN29" s="51">
        <v>4.5868082679456412E-2</v>
      </c>
      <c r="DO29" s="63">
        <v>4.5868082679456412E-2</v>
      </c>
      <c r="DP29" s="63">
        <v>4.5868082679456412E-2</v>
      </c>
      <c r="DQ29" s="63">
        <v>4.5868082679456412E-2</v>
      </c>
      <c r="DR29" s="63">
        <v>4.5868082679456412E-2</v>
      </c>
      <c r="DS29" s="63">
        <v>4.5868082679456412E-2</v>
      </c>
      <c r="DT29" s="63">
        <v>4.5868082679456412E-2</v>
      </c>
      <c r="DU29" s="63">
        <v>4.5868082679456412E-2</v>
      </c>
      <c r="DV29" s="63">
        <v>4.5868082679456412E-2</v>
      </c>
      <c r="DW29" s="63">
        <v>4.5868082679456412E-2</v>
      </c>
      <c r="DX29" s="63">
        <v>4.5868082679456412E-2</v>
      </c>
      <c r="DY29" s="63">
        <v>4.5868082679456412E-2</v>
      </c>
      <c r="DZ29" s="63">
        <v>4.5868082679456412E-2</v>
      </c>
      <c r="EA29" s="63">
        <v>4.5868082679456412E-2</v>
      </c>
      <c r="EB29" s="63">
        <v>4.5868082679456412E-2</v>
      </c>
    </row>
    <row r="30" spans="1:132" s="553" customFormat="1" ht="11.25">
      <c r="A30" s="55" t="s">
        <v>473</v>
      </c>
      <c r="B30" s="44"/>
      <c r="C30" s="44"/>
      <c r="D30" s="44"/>
      <c r="E30" s="44"/>
      <c r="F30" s="44">
        <v>1.7387218045112673E-2</v>
      </c>
      <c r="G30" s="44">
        <v>1.1085450346420389E-2</v>
      </c>
      <c r="H30" s="44">
        <v>1.6902695294654935E-2</v>
      </c>
      <c r="I30" s="44">
        <v>1.7969451931716174E-2</v>
      </c>
      <c r="J30" s="44">
        <v>1.8534863195057483E-2</v>
      </c>
      <c r="K30" s="44">
        <v>2.1663778162911651E-2</v>
      </c>
      <c r="L30" s="44">
        <v>8.4817642069550114E-3</v>
      </c>
      <c r="M30" s="44">
        <v>6.307821698906535E-3</v>
      </c>
      <c r="N30" s="44">
        <v>1.9222732971165835E-2</v>
      </c>
      <c r="O30" s="44">
        <v>1.2300123001230068E-2</v>
      </c>
      <c r="P30" s="44">
        <v>1.4175779667881638E-2</v>
      </c>
      <c r="Q30" s="44">
        <v>7.1884984025558651E-3</v>
      </c>
      <c r="R30" s="44">
        <v>2.1015067406820132E-2</v>
      </c>
      <c r="S30" s="44">
        <v>9.3203883495145412E-3</v>
      </c>
      <c r="T30" s="44">
        <v>1.1158137745286734E-2</v>
      </c>
      <c r="U30" s="44">
        <v>6.8493150684931781E-3</v>
      </c>
      <c r="V30" s="44">
        <v>2.9478458049886358E-2</v>
      </c>
      <c r="W30" s="44">
        <v>1.3582966226138193E-2</v>
      </c>
      <c r="X30" s="44">
        <v>1.0141253169141384E-2</v>
      </c>
      <c r="Y30" s="44">
        <v>3.9440659734673034E-3</v>
      </c>
      <c r="Z30" s="44">
        <v>9.2857142857143415E-3</v>
      </c>
      <c r="AA30" s="44">
        <v>1.2384996461429543E-2</v>
      </c>
      <c r="AB30" s="44">
        <v>1.747640685075158E-3</v>
      </c>
      <c r="AC30" s="44">
        <v>0</v>
      </c>
      <c r="AD30" s="44">
        <v>1.046755059316129E-2</v>
      </c>
      <c r="AE30" s="44">
        <v>1.2085635359116109E-2</v>
      </c>
      <c r="AF30" s="44">
        <v>6.1412487205729782E-3</v>
      </c>
      <c r="AG30" s="44">
        <v>4.0691759918618509E-3</v>
      </c>
      <c r="AH30" s="44">
        <v>1.6548463356973908E-2</v>
      </c>
      <c r="AI30" s="44">
        <v>9.302325581395321E-3</v>
      </c>
      <c r="AJ30" s="44">
        <v>6.254114549045342E-3</v>
      </c>
      <c r="AK30" s="44">
        <v>1.4393195943735781E-2</v>
      </c>
      <c r="AL30" s="44">
        <v>1.2899064817800676E-2</v>
      </c>
      <c r="AM30" s="44">
        <v>7.3225087551733736E-3</v>
      </c>
      <c r="AN30" s="44">
        <v>8.5335018963339504E-3</v>
      </c>
      <c r="AO30" s="44">
        <v>1.2848636790974588E-2</v>
      </c>
      <c r="AP30" s="44">
        <v>1.2066831683168466E-2</v>
      </c>
      <c r="AQ30" s="44">
        <v>1.3757260776520841E-2</v>
      </c>
      <c r="AR30" s="44">
        <v>4.8250904704463249E-3</v>
      </c>
      <c r="AS30" s="44">
        <v>9.6038415366146435E-3</v>
      </c>
      <c r="AT30" s="552">
        <v>1.0107015457788471E-2</v>
      </c>
      <c r="AU30" s="552">
        <v>1.7657445556209517E-3</v>
      </c>
      <c r="AV30" s="552">
        <v>1.2044653349001289E-2</v>
      </c>
      <c r="AW30" s="552">
        <v>1.5674891146589154E-2</v>
      </c>
      <c r="AX30" s="552">
        <v>9.4312660760218492E-3</v>
      </c>
      <c r="AY30" s="552">
        <v>8.7768969422423737E-3</v>
      </c>
      <c r="AZ30" s="552">
        <v>1.1507156890260939E-2</v>
      </c>
      <c r="BA30" s="552">
        <v>2.2475027746947873E-2</v>
      </c>
      <c r="BB30" s="552">
        <v>2.5237449118046262E-2</v>
      </c>
      <c r="BC30" s="552">
        <v>3.9438856537850731E-2</v>
      </c>
      <c r="BD30" s="552">
        <v>9.931245225363039E-3</v>
      </c>
      <c r="BE30" s="552">
        <v>2.0171457387796243E-2</v>
      </c>
      <c r="BF30" s="552">
        <v>1.8289668808699977E-2</v>
      </c>
      <c r="BG30" s="552">
        <v>6.553398058252391E-3</v>
      </c>
      <c r="BH30" s="552">
        <v>1.4950566674704513E-2</v>
      </c>
      <c r="BI30" s="552">
        <v>1.1166547873604271E-2</v>
      </c>
      <c r="BJ30" s="552">
        <v>1.4097744360902276E-2</v>
      </c>
      <c r="BK30" s="552">
        <v>7.6459684893419588E-3</v>
      </c>
      <c r="BL30" s="552">
        <v>1.1266957921361342E-2</v>
      </c>
      <c r="BM30" s="552">
        <v>5.2296498408368475E-3</v>
      </c>
      <c r="BN30" s="552">
        <v>2.013119203800029E-2</v>
      </c>
      <c r="BO30" s="552">
        <v>9.3126385809312318E-3</v>
      </c>
      <c r="BP30" s="45">
        <v>1.0105448154657415E-2</v>
      </c>
      <c r="BQ30" s="64">
        <v>9.3518921270117072E-3</v>
      </c>
      <c r="BR30" s="64">
        <v>1.5432628764291767E-2</v>
      </c>
      <c r="BS30" s="64">
        <v>1.283617291666168E-2</v>
      </c>
      <c r="BT30" s="64">
        <v>1.1940116012138225E-2</v>
      </c>
      <c r="BU30" s="64">
        <v>1.4943514799154877E-2</v>
      </c>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47"/>
      <c r="CW30" s="47"/>
      <c r="CX30" s="48"/>
      <c r="CY30" s="48"/>
      <c r="CZ30" s="48"/>
      <c r="DA30" s="48"/>
      <c r="DB30" s="48">
        <v>5.8201058201058142E-2</v>
      </c>
      <c r="DC30" s="48">
        <v>2.3571428571428577E-2</v>
      </c>
      <c r="DD30" s="48">
        <v>3.3147243545010419E-2</v>
      </c>
      <c r="DE30" s="48">
        <v>4.7281323877068626E-2</v>
      </c>
      <c r="DF30" s="549">
        <v>4.2244437278297298E-2</v>
      </c>
      <c r="DG30" s="549">
        <v>4.0841584158415767E-2</v>
      </c>
      <c r="DH30" s="549">
        <v>4.0130796670630131E-2</v>
      </c>
      <c r="DI30" s="549">
        <v>5.3158045155758948E-2</v>
      </c>
      <c r="DJ30" s="549">
        <v>9.7964721845319014E-2</v>
      </c>
      <c r="DK30" s="549">
        <v>5.1903114186851118E-2</v>
      </c>
      <c r="DL30" s="49">
        <v>3.8768796992481258E-2</v>
      </c>
      <c r="DM30" s="51">
        <v>4.9762497172585407E-2</v>
      </c>
      <c r="DN30" s="51">
        <v>5.6299328520314829E-2</v>
      </c>
      <c r="DO30" s="63">
        <v>5.6299328520314829E-2</v>
      </c>
      <c r="DP30" s="63">
        <v>5.6299328520314829E-2</v>
      </c>
      <c r="DQ30" s="63">
        <v>5.6299328520314829E-2</v>
      </c>
      <c r="DR30" s="63">
        <v>5.6299328520314829E-2</v>
      </c>
      <c r="DS30" s="63">
        <v>5.6299328520314829E-2</v>
      </c>
      <c r="DT30" s="63">
        <v>5.6299328520314829E-2</v>
      </c>
      <c r="DU30" s="63">
        <v>5.6299328520314829E-2</v>
      </c>
      <c r="DV30" s="63">
        <v>5.6299328520314829E-2</v>
      </c>
      <c r="DW30" s="63">
        <v>5.6299328520314829E-2</v>
      </c>
      <c r="DX30" s="63">
        <v>5.6299328520314829E-2</v>
      </c>
      <c r="DY30" s="63">
        <v>5.6299328520314829E-2</v>
      </c>
      <c r="DZ30" s="63">
        <v>5.6299328520314829E-2</v>
      </c>
      <c r="EA30" s="63">
        <v>5.6299328520314829E-2</v>
      </c>
      <c r="EB30" s="63">
        <v>5.6299328520314829E-2</v>
      </c>
    </row>
    <row r="31" spans="1:132" s="554" customFormat="1" ht="11.25">
      <c r="A31" s="55" t="s">
        <v>474</v>
      </c>
      <c r="B31" s="44"/>
      <c r="C31" s="44"/>
      <c r="D31" s="44"/>
      <c r="E31" s="44"/>
      <c r="F31" s="44">
        <v>-1.3211978860833917E-2</v>
      </c>
      <c r="G31" s="44">
        <v>2.6777744718833318E-3</v>
      </c>
      <c r="H31" s="44">
        <v>-8.2096933728981192E-3</v>
      </c>
      <c r="I31" s="44">
        <v>-2.4633489578139045E-2</v>
      </c>
      <c r="J31" s="44">
        <v>-1.6053169734151274E-2</v>
      </c>
      <c r="K31" s="44">
        <v>-2.0056115556479348E-2</v>
      </c>
      <c r="L31" s="44">
        <v>1.0286320254506931E-2</v>
      </c>
      <c r="M31" s="44">
        <v>2.6031279521360418E-2</v>
      </c>
      <c r="N31" s="44">
        <v>-3.9897698209718779E-3</v>
      </c>
      <c r="O31" s="44">
        <v>9.0386195562859317E-3</v>
      </c>
      <c r="P31" s="44">
        <v>-9.0594462540716236E-3</v>
      </c>
      <c r="Q31" s="44">
        <v>-5.9578839239855519E-3</v>
      </c>
      <c r="R31" s="44">
        <v>5.4769039991733326E-3</v>
      </c>
      <c r="S31" s="44">
        <v>2.9804727646454143E-3</v>
      </c>
      <c r="T31" s="44">
        <v>1.0246951531911463E-4</v>
      </c>
      <c r="U31" s="44">
        <v>-1.1372950819672156E-2</v>
      </c>
      <c r="V31" s="44">
        <v>1.4509275572598401E-3</v>
      </c>
      <c r="W31" s="44">
        <v>-5.7953016661492773E-3</v>
      </c>
      <c r="X31" s="44">
        <v>1.3011345893619186E-2</v>
      </c>
      <c r="Y31" s="44">
        <v>2.0961775585696785E-2</v>
      </c>
      <c r="Z31" s="44">
        <v>2.3953301127214166E-2</v>
      </c>
      <c r="AA31" s="44">
        <v>-2.9486927462157864E-3</v>
      </c>
      <c r="AB31" s="44">
        <v>8.8722397476341808E-3</v>
      </c>
      <c r="AC31" s="44">
        <v>4.4948211842876784E-3</v>
      </c>
      <c r="AD31" s="44">
        <v>9.4357976653696163E-3</v>
      </c>
      <c r="AE31" s="44">
        <v>-1.6960585911149573E-2</v>
      </c>
      <c r="AF31" s="44">
        <v>-5.0975394569160448E-3</v>
      </c>
      <c r="AG31" s="44">
        <v>2.7588925017243415E-3</v>
      </c>
      <c r="AH31" s="44">
        <v>-3.0460843077527722E-3</v>
      </c>
      <c r="AI31" s="44">
        <v>-2.5034496353242619E-2</v>
      </c>
      <c r="AJ31" s="44">
        <v>-2.3048928427011783E-2</v>
      </c>
      <c r="AK31" s="44">
        <v>4.8634105960265739E-3</v>
      </c>
      <c r="AL31" s="44">
        <v>-2.1419009370816533E-2</v>
      </c>
      <c r="AM31" s="44">
        <v>5.1562664421760385E-3</v>
      </c>
      <c r="AN31" s="44">
        <v>7.223618090452133E-3</v>
      </c>
      <c r="AO31" s="44">
        <v>8.1072653570315456E-3</v>
      </c>
      <c r="AP31" s="44">
        <v>-1.6290339210227822E-2</v>
      </c>
      <c r="AQ31" s="44">
        <v>9.6425951158158885E-3</v>
      </c>
      <c r="AR31" s="44">
        <v>1.7647669469531557E-3</v>
      </c>
      <c r="AS31" s="44">
        <v>-7.0466321243524144E-3</v>
      </c>
      <c r="AT31" s="552">
        <v>-1.9828845752452029E-3</v>
      </c>
      <c r="AU31" s="552">
        <v>2.792010875248363E-2</v>
      </c>
      <c r="AV31" s="552">
        <v>-2.3092573753814793E-2</v>
      </c>
      <c r="AW31" s="552">
        <v>-2.207643444756846E-2</v>
      </c>
      <c r="AX31" s="552">
        <v>-7.347460334362621E-3</v>
      </c>
      <c r="AY31" s="552">
        <v>-1.1800042909246855E-2</v>
      </c>
      <c r="AZ31" s="552">
        <v>6.9474598349978933E-3</v>
      </c>
      <c r="BA31" s="552">
        <v>1.3475636050021667E-2</v>
      </c>
      <c r="BB31" s="552">
        <v>5.4249547920433017E-3</v>
      </c>
      <c r="BC31" s="552">
        <v>1.227253491324598E-2</v>
      </c>
      <c r="BD31" s="552">
        <v>2.9995819397993229E-2</v>
      </c>
      <c r="BE31" s="552">
        <v>1.3191273465245956E-2</v>
      </c>
      <c r="BF31" s="552">
        <v>-1.7726589884827226E-2</v>
      </c>
      <c r="BG31" s="552">
        <v>3.7724306688418086E-3</v>
      </c>
      <c r="BH31" s="552">
        <v>4.6724225495173854E-3</v>
      </c>
      <c r="BI31" s="552">
        <v>5.6617126680820196E-3</v>
      </c>
      <c r="BJ31" s="552">
        <v>0</v>
      </c>
      <c r="BK31" s="552">
        <v>1.5280989242987708E-2</v>
      </c>
      <c r="BL31" s="552">
        <v>4.1588276066937269E-3</v>
      </c>
      <c r="BM31" s="552">
        <v>5.7193570653781833E-3</v>
      </c>
      <c r="BN31" s="552">
        <v>8.4321992352192066E-3</v>
      </c>
      <c r="BO31" s="552">
        <v>-2.216820612542536E-2</v>
      </c>
      <c r="BP31" s="45">
        <v>-7.8552252162672476E-3</v>
      </c>
      <c r="BQ31" s="64">
        <v>0</v>
      </c>
      <c r="BR31" s="64">
        <v>0.01</v>
      </c>
      <c r="BS31" s="64">
        <v>0.01</v>
      </c>
      <c r="BT31" s="64">
        <v>0.01</v>
      </c>
      <c r="BU31" s="64">
        <v>0.01</v>
      </c>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64"/>
      <c r="CT31" s="64"/>
      <c r="CU31" s="64"/>
      <c r="CV31" s="47"/>
      <c r="CW31" s="47"/>
      <c r="CX31" s="48"/>
      <c r="CY31" s="48"/>
      <c r="CZ31" s="48"/>
      <c r="DA31" s="48"/>
      <c r="DB31" s="48">
        <v>2.974401492382639E-2</v>
      </c>
      <c r="DC31" s="48">
        <v>3.4621578099838901E-2</v>
      </c>
      <c r="DD31" s="48">
        <v>-1.0019455252918252E-2</v>
      </c>
      <c r="DE31" s="48">
        <v>-4.5789525400412701E-2</v>
      </c>
      <c r="DF31" s="549">
        <v>-1.2357120790855713E-3</v>
      </c>
      <c r="DG31" s="549">
        <v>-1.206309928858651E-2</v>
      </c>
      <c r="DH31" s="549">
        <v>-1.9933208098518063E-2</v>
      </c>
      <c r="DI31" s="549">
        <v>1.0648493238207823E-3</v>
      </c>
      <c r="DJ31" s="549">
        <v>6.2121050952026247E-2</v>
      </c>
      <c r="DK31" s="549">
        <v>-3.8057085628442344E-3</v>
      </c>
      <c r="DL31" s="49">
        <v>2.5334271639690265E-2</v>
      </c>
      <c r="DM31" s="51">
        <v>-2.1668791057946835E-2</v>
      </c>
      <c r="DN31" s="51">
        <v>4.0604010000000024E-2</v>
      </c>
      <c r="DO31" s="63">
        <v>4.0604010000000024E-2</v>
      </c>
      <c r="DP31" s="63">
        <v>4.0604010000000024E-2</v>
      </c>
      <c r="DQ31" s="63">
        <v>4.0604010000000024E-2</v>
      </c>
      <c r="DR31" s="63">
        <v>4.0604010000000024E-2</v>
      </c>
      <c r="DS31" s="63">
        <v>4.0604010000000024E-2</v>
      </c>
      <c r="DT31" s="63">
        <v>4.0604010000000024E-2</v>
      </c>
      <c r="DU31" s="63">
        <v>4.0604010000000024E-2</v>
      </c>
      <c r="DV31" s="63">
        <v>4.0604010000000024E-2</v>
      </c>
      <c r="DW31" s="63">
        <v>4.0604010000000024E-2</v>
      </c>
      <c r="DX31" s="63">
        <v>4.0604010000000024E-2</v>
      </c>
      <c r="DY31" s="63">
        <v>4.0604010000000024E-2</v>
      </c>
      <c r="DZ31" s="63">
        <v>4.0604010000000024E-2</v>
      </c>
      <c r="EA31" s="63">
        <v>4.0604010000000024E-2</v>
      </c>
      <c r="EB31" s="63">
        <v>4.0604010000000024E-2</v>
      </c>
    </row>
    <row r="32" spans="1:132" s="553" customFormat="1" ht="11.25">
      <c r="A32" s="43" t="s">
        <v>475</v>
      </c>
      <c r="B32" s="44"/>
      <c r="C32" s="44"/>
      <c r="D32" s="44"/>
      <c r="E32" s="44"/>
      <c r="F32" s="44">
        <v>2.6567501699861218E-3</v>
      </c>
      <c r="G32" s="44">
        <v>9.6978263229978712E-3</v>
      </c>
      <c r="H32" s="44">
        <v>6.5007527534930443E-3</v>
      </c>
      <c r="I32" s="44">
        <v>5.4151852929640309E-3</v>
      </c>
      <c r="J32" s="44">
        <v>5.7192661106333365E-3</v>
      </c>
      <c r="K32" s="44">
        <v>1.4441386840273518E-2</v>
      </c>
      <c r="L32" s="44">
        <v>5.6103551047332889E-3</v>
      </c>
      <c r="M32" s="44">
        <v>1.2780809614817645E-2</v>
      </c>
      <c r="N32" s="44">
        <v>1.0741889196345333E-2</v>
      </c>
      <c r="O32" s="44">
        <v>4.1649081745365191E-3</v>
      </c>
      <c r="P32" s="44">
        <v>-1.6046944937456731E-3</v>
      </c>
      <c r="Q32" s="44">
        <v>1.1053049769709666E-2</v>
      </c>
      <c r="R32" s="44">
        <v>1.2534614668957555E-3</v>
      </c>
      <c r="S32" s="44">
        <v>-7.3067131684390052E-4</v>
      </c>
      <c r="T32" s="44">
        <v>1.0430291077585307E-2</v>
      </c>
      <c r="U32" s="44">
        <v>9.4638480830002703E-3</v>
      </c>
      <c r="V32" s="44">
        <v>1.275914260071831E-2</v>
      </c>
      <c r="W32" s="44">
        <v>1.7649024843086503E-2</v>
      </c>
      <c r="X32" s="44">
        <v>6.0111698449982764E-3</v>
      </c>
      <c r="Y32" s="44">
        <v>1.8995350053500282E-2</v>
      </c>
      <c r="Z32" s="44">
        <v>-1.7541651270347458E-4</v>
      </c>
      <c r="AA32" s="44">
        <v>1.4627917724968409E-2</v>
      </c>
      <c r="AB32" s="44">
        <v>1.4567128955095709E-2</v>
      </c>
      <c r="AC32" s="44">
        <v>1.1133515788327442E-2</v>
      </c>
      <c r="AD32" s="44">
        <v>7.1387630227994769E-3</v>
      </c>
      <c r="AE32" s="44">
        <v>9.2987577507404051E-3</v>
      </c>
      <c r="AF32" s="44">
        <v>6.6109909884319862E-3</v>
      </c>
      <c r="AG32" s="44">
        <v>4.7162364677035828E-3</v>
      </c>
      <c r="AH32" s="44">
        <v>4.7047249922005374E-3</v>
      </c>
      <c r="AI32" s="44">
        <v>7.2964051746868819E-3</v>
      </c>
      <c r="AJ32" s="44">
        <v>-3.1126840374429143E-4</v>
      </c>
      <c r="AK32" s="44">
        <v>5.302588946380915E-3</v>
      </c>
      <c r="AL32" s="44">
        <v>6.2970788271126121E-3</v>
      </c>
      <c r="AM32" s="44">
        <v>7.1153922458244701E-3</v>
      </c>
      <c r="AN32" s="44">
        <v>7.315500665162622E-3</v>
      </c>
      <c r="AO32" s="44">
        <v>7.6154758575817105E-3</v>
      </c>
      <c r="AP32" s="44">
        <v>-1.0883054685217886E-6</v>
      </c>
      <c r="AQ32" s="44">
        <v>1.2244900920562296E-2</v>
      </c>
      <c r="AR32" s="44">
        <v>5.2047607272258656E-3</v>
      </c>
      <c r="AS32" s="44">
        <v>9.3199180135286053E-3</v>
      </c>
      <c r="AT32" s="552">
        <v>1.015615010134252E-2</v>
      </c>
      <c r="AU32" s="552">
        <v>3.4604471865682385E-3</v>
      </c>
      <c r="AV32" s="552">
        <v>3.9830752407454817E-4</v>
      </c>
      <c r="AW32" s="552">
        <v>1.262651156391037E-2</v>
      </c>
      <c r="AX32" s="552">
        <v>1.1160520021616493E-2</v>
      </c>
      <c r="AY32" s="552">
        <v>1.0718233209513262E-2</v>
      </c>
      <c r="AZ32" s="552">
        <v>1.2741237496141755E-2</v>
      </c>
      <c r="BA32" s="552">
        <v>3.0023892952659281E-2</v>
      </c>
      <c r="BB32" s="552">
        <v>2.3748263246916812E-2</v>
      </c>
      <c r="BC32" s="552">
        <v>4.2836016684453471E-2</v>
      </c>
      <c r="BD32" s="552">
        <v>3.5403814750461171E-2</v>
      </c>
      <c r="BE32" s="552">
        <v>2.4891828912351865E-2</v>
      </c>
      <c r="BF32" s="552">
        <v>1.3229479780968889E-2</v>
      </c>
      <c r="BG32" s="552">
        <v>1.4448153615917558E-2</v>
      </c>
      <c r="BH32" s="552">
        <v>2.9939472666271616E-3</v>
      </c>
      <c r="BI32" s="552">
        <v>1.6350010622271816E-2</v>
      </c>
      <c r="BJ32" s="552">
        <v>8.2676078083445681E-3</v>
      </c>
      <c r="BK32" s="552">
        <v>1.2895513825595506E-2</v>
      </c>
      <c r="BL32" s="552">
        <v>9.010999189286828E-3</v>
      </c>
      <c r="BM32" s="552">
        <v>1.3354375920921147E-2</v>
      </c>
      <c r="BN32" s="552">
        <v>1.2427411106995301E-2</v>
      </c>
      <c r="BO32" s="552">
        <v>9.5891125931406584E-3</v>
      </c>
      <c r="BP32" s="45">
        <v>5.5664963033912329E-3</v>
      </c>
      <c r="BQ32" s="555">
        <v>6.1366597738672368E-3</v>
      </c>
      <c r="BR32" s="555">
        <v>7.23514428762706E-3</v>
      </c>
      <c r="BS32" s="555">
        <v>6.6819168591245592E-3</v>
      </c>
      <c r="BT32" s="555">
        <v>6.9996927516839946E-3</v>
      </c>
      <c r="BU32" s="555">
        <v>6.4547613401564341E-3</v>
      </c>
      <c r="BV32" s="555"/>
      <c r="BW32" s="555"/>
      <c r="BX32" s="555"/>
      <c r="BY32" s="555"/>
      <c r="BZ32" s="555"/>
      <c r="CA32" s="555"/>
      <c r="CB32" s="555"/>
      <c r="CC32" s="555"/>
      <c r="CD32" s="555"/>
      <c r="CE32" s="555"/>
      <c r="CF32" s="555"/>
      <c r="CG32" s="555"/>
      <c r="CH32" s="555"/>
      <c r="CI32" s="555"/>
      <c r="CJ32" s="555"/>
      <c r="CK32" s="555"/>
      <c r="CL32" s="555"/>
      <c r="CM32" s="555"/>
      <c r="CN32" s="555"/>
      <c r="CO32" s="555"/>
      <c r="CP32" s="555"/>
      <c r="CQ32" s="555"/>
      <c r="CR32" s="555"/>
      <c r="CS32" s="555"/>
      <c r="CT32" s="555"/>
      <c r="CU32" s="555"/>
      <c r="CV32" s="47"/>
      <c r="CW32" s="47"/>
      <c r="CX32" s="48"/>
      <c r="CY32" s="48"/>
      <c r="CZ32" s="48"/>
      <c r="DA32" s="48"/>
      <c r="DB32" s="48">
        <v>5.6523589462863955E-2</v>
      </c>
      <c r="DC32" s="48">
        <v>4.0686479528649455E-2</v>
      </c>
      <c r="DD32" s="48">
        <v>2.8049766885987815E-2</v>
      </c>
      <c r="DE32" s="48">
        <v>1.7085180723531712E-2</v>
      </c>
      <c r="DF32" s="549">
        <v>2.864564480967724E-2</v>
      </c>
      <c r="DG32" s="549">
        <v>2.6995417145672107E-2</v>
      </c>
      <c r="DH32" s="549">
        <v>2.6859470560516963E-2</v>
      </c>
      <c r="DI32" s="549">
        <v>6.6095224925207141E-2</v>
      </c>
      <c r="DJ32" s="549">
        <v>0.13291412486036602</v>
      </c>
      <c r="DK32" s="549">
        <v>4.7802140526980397E-2</v>
      </c>
      <c r="DL32" s="49">
        <v>4.4233713225780624E-2</v>
      </c>
      <c r="DM32" s="555">
        <v>3.4132820917158524E-2</v>
      </c>
      <c r="DN32" s="555">
        <v>2.7653569104117537E-2</v>
      </c>
      <c r="DO32" s="556">
        <v>2.9999999999999902E-2</v>
      </c>
      <c r="DP32" s="556">
        <v>0.03</v>
      </c>
      <c r="DQ32" s="556">
        <v>0.03</v>
      </c>
      <c r="DR32" s="556">
        <v>0.03</v>
      </c>
      <c r="DS32" s="556">
        <v>0.03</v>
      </c>
      <c r="DT32" s="556">
        <v>0.03</v>
      </c>
      <c r="DU32" s="556">
        <v>0.03</v>
      </c>
      <c r="DV32" s="556">
        <v>0.03</v>
      </c>
      <c r="DW32" s="361">
        <v>0.03</v>
      </c>
      <c r="DX32" s="361">
        <v>0.03</v>
      </c>
      <c r="DY32" s="361">
        <v>0.03</v>
      </c>
      <c r="DZ32" s="361">
        <v>0.03</v>
      </c>
      <c r="EA32" s="361">
        <v>0.03</v>
      </c>
      <c r="EB32" s="361">
        <v>0.03</v>
      </c>
    </row>
    <row r="33" spans="1:136" s="553" customFormat="1" ht="11.25">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620"/>
      <c r="BQ33" s="558"/>
      <c r="BR33" s="558"/>
      <c r="BS33" s="558"/>
      <c r="BT33" s="558"/>
      <c r="BU33" s="558"/>
      <c r="BV33" s="558"/>
      <c r="BW33" s="558"/>
      <c r="BX33" s="558"/>
      <c r="BY33" s="558"/>
      <c r="BZ33" s="558"/>
      <c r="CA33" s="558"/>
      <c r="CB33" s="558"/>
      <c r="CC33" s="558"/>
      <c r="CD33" s="558"/>
      <c r="CE33" s="558"/>
      <c r="CF33" s="558"/>
      <c r="CG33" s="558"/>
      <c r="CH33" s="558"/>
      <c r="CI33" s="558"/>
      <c r="CJ33" s="558"/>
      <c r="CK33" s="558"/>
      <c r="CL33" s="558"/>
      <c r="CM33" s="558"/>
      <c r="CN33" s="558"/>
      <c r="CO33" s="558"/>
      <c r="CP33" s="558"/>
      <c r="CQ33" s="558"/>
      <c r="CR33" s="558"/>
      <c r="CS33" s="558"/>
      <c r="CT33" s="558"/>
      <c r="CU33" s="558"/>
      <c r="CV33" s="47"/>
      <c r="CW33" s="47"/>
      <c r="CX33" s="48"/>
      <c r="CY33" s="48"/>
      <c r="CZ33" s="48"/>
      <c r="DA33" s="48"/>
      <c r="DB33" s="48"/>
      <c r="DC33" s="48"/>
      <c r="DD33" s="48"/>
      <c r="DE33" s="48"/>
      <c r="DF33" s="549"/>
      <c r="DG33" s="549"/>
      <c r="DH33" s="549"/>
      <c r="DI33" s="549"/>
      <c r="DJ33" s="549"/>
      <c r="DK33" s="549"/>
      <c r="DL33" s="49"/>
      <c r="DM33" s="63"/>
      <c r="DN33" s="63"/>
      <c r="DO33" s="63"/>
      <c r="DP33" s="63"/>
      <c r="DQ33" s="63"/>
      <c r="DR33" s="63"/>
      <c r="DS33" s="63"/>
      <c r="DT33" s="63"/>
      <c r="DU33" s="63"/>
      <c r="DV33" s="63"/>
      <c r="DW33" s="63"/>
      <c r="DX33" s="63"/>
      <c r="DY33" s="63"/>
      <c r="DZ33" s="63"/>
      <c r="EA33" s="63"/>
      <c r="EB33" s="63"/>
    </row>
    <row r="34" spans="1:136" s="553" customFormat="1" ht="11.25">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552"/>
      <c r="AS34" s="552"/>
      <c r="AT34" s="552"/>
      <c r="AU34" s="552"/>
      <c r="AV34" s="552"/>
      <c r="AW34" s="552"/>
      <c r="AX34" s="552"/>
      <c r="AY34" s="552"/>
      <c r="AZ34" s="552"/>
      <c r="BA34" s="552"/>
      <c r="BB34" s="552"/>
      <c r="BC34" s="552"/>
      <c r="BD34" s="552"/>
      <c r="BE34" s="552"/>
      <c r="BF34" s="552"/>
      <c r="BG34" s="552"/>
      <c r="BH34" s="552"/>
      <c r="BI34" s="552"/>
      <c r="BJ34" s="552"/>
      <c r="BK34" s="552"/>
      <c r="BL34" s="552"/>
      <c r="BM34" s="552"/>
      <c r="BN34" s="552"/>
      <c r="BO34" s="552"/>
      <c r="BP34" s="45"/>
      <c r="BQ34" s="559"/>
      <c r="BR34" s="559"/>
      <c r="BS34" s="559"/>
      <c r="BT34" s="559"/>
      <c r="BU34" s="559"/>
      <c r="BV34" s="559"/>
      <c r="BW34" s="559"/>
      <c r="BX34" s="559"/>
      <c r="BY34" s="559"/>
      <c r="BZ34" s="559"/>
      <c r="CA34" s="559"/>
      <c r="CB34" s="559"/>
      <c r="CC34" s="559"/>
      <c r="CD34" s="559"/>
      <c r="CE34" s="559"/>
      <c r="CF34" s="559"/>
      <c r="CG34" s="559"/>
      <c r="CH34" s="559"/>
      <c r="CI34" s="559"/>
      <c r="CJ34" s="559"/>
      <c r="CK34" s="559"/>
      <c r="CL34" s="559"/>
      <c r="CM34" s="559"/>
      <c r="CN34" s="559"/>
      <c r="CO34" s="559"/>
      <c r="CP34" s="559"/>
      <c r="CQ34" s="559"/>
      <c r="CR34" s="559"/>
      <c r="CS34" s="559"/>
      <c r="CT34" s="559"/>
      <c r="CU34" s="559"/>
      <c r="CV34" s="47"/>
      <c r="CW34" s="47"/>
      <c r="CX34" s="48"/>
      <c r="CY34" s="48"/>
      <c r="CZ34" s="48"/>
      <c r="DA34" s="48"/>
      <c r="DB34" s="48"/>
      <c r="DC34" s="48"/>
      <c r="DD34" s="48"/>
      <c r="DE34" s="48"/>
      <c r="DF34" s="549"/>
      <c r="DG34" s="549"/>
      <c r="DH34" s="549"/>
      <c r="DI34" s="549"/>
      <c r="DJ34" s="549"/>
      <c r="DK34" s="549"/>
      <c r="DL34" s="49"/>
      <c r="DM34" s="46"/>
      <c r="DN34" s="46"/>
      <c r="DO34" s="46"/>
      <c r="DP34" s="46"/>
      <c r="DQ34" s="46"/>
      <c r="DR34" s="46"/>
      <c r="DS34" s="46"/>
      <c r="DT34" s="46"/>
      <c r="DU34" s="46"/>
      <c r="DV34" s="46"/>
      <c r="DW34" s="46"/>
      <c r="DX34" s="46"/>
      <c r="DY34" s="46"/>
      <c r="DZ34" s="46"/>
      <c r="EA34" s="46"/>
      <c r="EB34" s="46"/>
    </row>
    <row r="35" spans="1:136" s="553" customFormat="1" ht="11.25">
      <c r="A35" s="34" t="s">
        <v>476</v>
      </c>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131"/>
      <c r="BE35" s="131"/>
      <c r="BF35" s="131"/>
      <c r="BG35" s="131"/>
      <c r="BH35" s="131"/>
      <c r="BI35" s="131"/>
      <c r="BJ35" s="131"/>
      <c r="BK35" s="131"/>
      <c r="BL35" s="131"/>
      <c r="BM35" s="131"/>
      <c r="BN35" s="131"/>
      <c r="BO35" s="131"/>
      <c r="BP35" s="621"/>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42"/>
      <c r="DM35" s="34"/>
      <c r="DN35" s="34"/>
      <c r="DO35" s="34"/>
      <c r="DP35" s="34"/>
      <c r="DQ35" s="34"/>
      <c r="DR35" s="34"/>
      <c r="DS35" s="34"/>
      <c r="DT35" s="34"/>
      <c r="DU35" s="34"/>
      <c r="DV35" s="34"/>
      <c r="DW35" s="34"/>
      <c r="DX35" s="34"/>
      <c r="DY35" s="34"/>
      <c r="DZ35" s="34"/>
      <c r="EA35" s="34"/>
      <c r="EB35" s="34"/>
    </row>
    <row r="36" spans="1:136" s="553" customFormat="1" ht="11.25">
      <c r="A36" s="38" t="s">
        <v>477</v>
      </c>
      <c r="B36" s="56">
        <v>583.20000000000005</v>
      </c>
      <c r="C36" s="56">
        <v>533.65</v>
      </c>
      <c r="D36" s="56">
        <v>549.70000000000005</v>
      </c>
      <c r="E36" s="56">
        <v>507.45</v>
      </c>
      <c r="F36" s="56">
        <v>524.4</v>
      </c>
      <c r="G36" s="56">
        <v>546.04</v>
      </c>
      <c r="H36" s="56">
        <v>483.55</v>
      </c>
      <c r="I36" s="56">
        <v>468</v>
      </c>
      <c r="J36" s="56">
        <v>477.45</v>
      </c>
      <c r="K36" s="56">
        <v>467.22</v>
      </c>
      <c r="L36" s="56">
        <v>519.75</v>
      </c>
      <c r="M36" s="56">
        <v>519.54999999999995</v>
      </c>
      <c r="N36" s="56">
        <v>488.35</v>
      </c>
      <c r="O36" s="56">
        <v>501.07</v>
      </c>
      <c r="P36" s="56">
        <v>474.7</v>
      </c>
      <c r="Q36" s="56">
        <v>479.2</v>
      </c>
      <c r="R36" s="56">
        <v>473</v>
      </c>
      <c r="S36" s="56">
        <v>507.25</v>
      </c>
      <c r="T36" s="56">
        <v>504.76</v>
      </c>
      <c r="U36" s="56">
        <v>528.85</v>
      </c>
      <c r="V36" s="56">
        <v>549.47</v>
      </c>
      <c r="W36" s="56">
        <v>552.95000000000005</v>
      </c>
      <c r="X36" s="56">
        <v>598.32000000000005</v>
      </c>
      <c r="Y36" s="56">
        <v>606.45000000000005</v>
      </c>
      <c r="Z36" s="56">
        <v>625.29</v>
      </c>
      <c r="AA36" s="56">
        <v>639.15</v>
      </c>
      <c r="AB36" s="56">
        <v>696.2</v>
      </c>
      <c r="AC36" s="56">
        <v>707.8</v>
      </c>
      <c r="AD36" s="56">
        <v>667.74</v>
      </c>
      <c r="AE36" s="56">
        <v>663.26</v>
      </c>
      <c r="AF36" s="56">
        <v>657.32</v>
      </c>
      <c r="AG36" s="56">
        <v>670.68</v>
      </c>
      <c r="AH36" s="56">
        <v>660.25</v>
      </c>
      <c r="AI36" s="56">
        <v>663.8</v>
      </c>
      <c r="AJ36" s="56">
        <v>639.03</v>
      </c>
      <c r="AK36" s="56">
        <v>615.44000000000005</v>
      </c>
      <c r="AL36" s="56">
        <v>603.9</v>
      </c>
      <c r="AM36" s="56">
        <v>654.35</v>
      </c>
      <c r="AN36" s="56">
        <v>656.85</v>
      </c>
      <c r="AO36" s="56">
        <v>693.6</v>
      </c>
      <c r="AP36" s="56">
        <v>679.7</v>
      </c>
      <c r="AQ36" s="56">
        <v>678.72</v>
      </c>
      <c r="AR36" s="543">
        <v>728.41</v>
      </c>
      <c r="AS36" s="543">
        <v>751.75</v>
      </c>
      <c r="AT36" s="543">
        <v>855.15</v>
      </c>
      <c r="AU36" s="543">
        <v>821.22</v>
      </c>
      <c r="AV36" s="543">
        <v>784.33</v>
      </c>
      <c r="AW36" s="543">
        <v>711.78</v>
      </c>
      <c r="AX36" s="543">
        <v>719.04</v>
      </c>
      <c r="AY36" s="543">
        <v>734.38</v>
      </c>
      <c r="AZ36" s="543">
        <v>810.06</v>
      </c>
      <c r="BA36" s="543">
        <v>852</v>
      </c>
      <c r="BB36" s="543">
        <v>786.05</v>
      </c>
      <c r="BC36" s="543">
        <v>918.08</v>
      </c>
      <c r="BD36" s="543">
        <v>968.69</v>
      </c>
      <c r="BE36" s="543">
        <v>851.13</v>
      </c>
      <c r="BF36" s="543">
        <v>795.47</v>
      </c>
      <c r="BG36" s="546">
        <v>802.25</v>
      </c>
      <c r="BH36" s="546">
        <v>891.53</v>
      </c>
      <c r="BI36" s="546">
        <v>879</v>
      </c>
      <c r="BJ36" s="546">
        <v>979.36</v>
      </c>
      <c r="BK36" s="546">
        <v>940.23</v>
      </c>
      <c r="BL36" s="546">
        <v>898.7</v>
      </c>
      <c r="BM36" s="546">
        <v>994.92</v>
      </c>
      <c r="BN36" s="546">
        <v>951.08</v>
      </c>
      <c r="BO36" s="546">
        <v>931.62</v>
      </c>
      <c r="BP36" s="126">
        <v>962.5</v>
      </c>
      <c r="BQ36" s="633">
        <v>900.58</v>
      </c>
      <c r="BR36" s="58">
        <v>885.34</v>
      </c>
      <c r="BS36" s="58">
        <v>879.04513620125658</v>
      </c>
      <c r="BT36" s="58">
        <v>883.43034500703061</v>
      </c>
      <c r="BU36" s="58">
        <v>884.57383814990305</v>
      </c>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38"/>
      <c r="CY36" s="56">
        <v>519.54999999999995</v>
      </c>
      <c r="CZ36" s="56">
        <v>479.2</v>
      </c>
      <c r="DA36" s="56">
        <v>528.85</v>
      </c>
      <c r="DB36" s="56">
        <v>606.45000000000005</v>
      </c>
      <c r="DC36" s="56">
        <v>707.8</v>
      </c>
      <c r="DD36" s="56">
        <v>670.68</v>
      </c>
      <c r="DE36" s="56">
        <v>615.44000000000005</v>
      </c>
      <c r="DF36" s="543">
        <v>693.6</v>
      </c>
      <c r="DG36" s="543">
        <v>751.75</v>
      </c>
      <c r="DH36" s="543">
        <v>711.78</v>
      </c>
      <c r="DI36" s="543">
        <v>852</v>
      </c>
      <c r="DJ36" s="543">
        <v>851.13</v>
      </c>
      <c r="DK36" s="543">
        <v>879</v>
      </c>
      <c r="DL36" s="57">
        <v>994.92</v>
      </c>
      <c r="DM36" s="58">
        <v>900.58</v>
      </c>
      <c r="DN36" s="58">
        <v>884.57383814990305</v>
      </c>
      <c r="DO36" s="59">
        <v>893.24613068078452</v>
      </c>
      <c r="DP36" s="59">
        <v>902.00344568745891</v>
      </c>
      <c r="DQ36" s="59">
        <v>910.84661672361051</v>
      </c>
      <c r="DR36" s="59">
        <v>919.77648551501852</v>
      </c>
      <c r="DS36" s="59">
        <v>928.79390203967557</v>
      </c>
      <c r="DT36" s="59">
        <v>937.89972460869194</v>
      </c>
      <c r="DU36" s="59">
        <v>947.09481994799285</v>
      </c>
      <c r="DV36" s="59">
        <v>956.38006328081633</v>
      </c>
      <c r="DW36" s="59">
        <v>965.75633841102035</v>
      </c>
      <c r="DX36" s="59">
        <v>975.22453780720684</v>
      </c>
      <c r="DY36" s="59">
        <v>984.78556268766965</v>
      </c>
      <c r="DZ36" s="59">
        <v>994.44032310617627</v>
      </c>
      <c r="EA36" s="59">
        <v>1004.1897380385898</v>
      </c>
      <c r="EB36" s="59">
        <v>1014.0347354703406</v>
      </c>
    </row>
    <row r="37" spans="1:136" s="553" customFormat="1" ht="11.25">
      <c r="A37" s="38" t="s">
        <v>478</v>
      </c>
      <c r="B37" s="56">
        <v>3.1526999999999998</v>
      </c>
      <c r="C37" s="56">
        <v>3.0065</v>
      </c>
      <c r="D37" s="56">
        <v>2.8820000000000001</v>
      </c>
      <c r="E37" s="56">
        <v>2.8879999999999999</v>
      </c>
      <c r="F37" s="56">
        <v>2.8420000000000001</v>
      </c>
      <c r="G37" s="56">
        <v>2.8254999999999999</v>
      </c>
      <c r="H37" s="56">
        <v>2.7861000000000002</v>
      </c>
      <c r="I37" s="56">
        <v>2.8063000000000002</v>
      </c>
      <c r="J37" s="56">
        <v>2.8025000000000002</v>
      </c>
      <c r="K37" s="56">
        <v>2.7495000000000003</v>
      </c>
      <c r="L37" s="56">
        <v>2.774</v>
      </c>
      <c r="M37" s="56">
        <v>2.6964999999999999</v>
      </c>
      <c r="N37" s="56">
        <v>2.6684999999999999</v>
      </c>
      <c r="O37" s="56">
        <v>2.6640000000000001</v>
      </c>
      <c r="P37" s="56">
        <v>2.5975000000000001</v>
      </c>
      <c r="Q37" s="56">
        <v>2.5514999999999999</v>
      </c>
      <c r="R37" s="56">
        <v>2.5895000000000001</v>
      </c>
      <c r="S37" s="56">
        <v>2.7805</v>
      </c>
      <c r="T37" s="56">
        <v>2.7814999999999999</v>
      </c>
      <c r="U37" s="56">
        <v>2.7989999999999999</v>
      </c>
      <c r="V37" s="56">
        <v>2.8085</v>
      </c>
      <c r="W37" s="56">
        <v>2.7984999999999998</v>
      </c>
      <c r="X37" s="56">
        <v>2.8904000000000001</v>
      </c>
      <c r="Y37" s="56">
        <v>2.9794999999999998</v>
      </c>
      <c r="Z37" s="56">
        <v>3.0964999999999998</v>
      </c>
      <c r="AA37" s="56">
        <v>3.1795</v>
      </c>
      <c r="AB37" s="56">
        <v>3.2334999999999998</v>
      </c>
      <c r="AC37" s="56">
        <v>3.4140000000000001</v>
      </c>
      <c r="AD37" s="56">
        <v>3.3130000000000002</v>
      </c>
      <c r="AE37" s="56">
        <v>3.2854999999999999</v>
      </c>
      <c r="AF37" s="56">
        <v>3.3835000000000002</v>
      </c>
      <c r="AG37" s="56">
        <v>3.3559999999999999</v>
      </c>
      <c r="AH37" s="56">
        <v>3.2484999999999999</v>
      </c>
      <c r="AI37" s="56">
        <v>3.2450000000000001</v>
      </c>
      <c r="AJ37" s="56">
        <v>3.2654999999999998</v>
      </c>
      <c r="AK37" s="56">
        <v>3.2374000000000001</v>
      </c>
      <c r="AL37" s="56">
        <v>3.2298</v>
      </c>
      <c r="AM37" s="56">
        <v>3.2765</v>
      </c>
      <c r="AN37" s="56">
        <v>3.3039999999999998</v>
      </c>
      <c r="AO37" s="56">
        <v>3.3685</v>
      </c>
      <c r="AP37" s="56">
        <v>3.3184999999999998</v>
      </c>
      <c r="AQ37" s="56">
        <v>3.294</v>
      </c>
      <c r="AR37" s="543">
        <v>3.3694999999999999</v>
      </c>
      <c r="AS37" s="543">
        <v>3.3130000000000002</v>
      </c>
      <c r="AT37" s="543">
        <v>3.4319999999999999</v>
      </c>
      <c r="AU37" s="543">
        <v>3.5415000000000001</v>
      </c>
      <c r="AV37" s="543">
        <v>3.6025</v>
      </c>
      <c r="AW37" s="543">
        <v>3.6179999999999999</v>
      </c>
      <c r="AX37" s="543">
        <v>3.7435</v>
      </c>
      <c r="AY37" s="543">
        <v>3.8658999999999999</v>
      </c>
      <c r="AZ37" s="543">
        <v>4.1345000000000001</v>
      </c>
      <c r="BA37" s="543">
        <v>4.0015000000000001</v>
      </c>
      <c r="BB37" s="543">
        <v>3.6804000000000001</v>
      </c>
      <c r="BC37" s="543">
        <v>3.8264999999999998</v>
      </c>
      <c r="BD37" s="543">
        <v>3.9832000000000001</v>
      </c>
      <c r="BE37" s="543">
        <v>3.8060999999999998</v>
      </c>
      <c r="BF37" s="543">
        <v>3.7631000000000001</v>
      </c>
      <c r="BG37" s="543">
        <v>3.625</v>
      </c>
      <c r="BH37" s="543">
        <v>3.7848999999999999</v>
      </c>
      <c r="BI37" s="543">
        <v>3.7042000000000002</v>
      </c>
      <c r="BJ37" s="543">
        <v>3.7176</v>
      </c>
      <c r="BK37" s="543">
        <v>3.8424999999999998</v>
      </c>
      <c r="BL37" s="543">
        <v>3.7040000000000002</v>
      </c>
      <c r="BM37" s="543">
        <v>3.7403</v>
      </c>
      <c r="BN37" s="543">
        <v>3.677</v>
      </c>
      <c r="BO37" s="543">
        <v>3.5425</v>
      </c>
      <c r="BP37" s="57">
        <v>3.4719000000000002</v>
      </c>
      <c r="BQ37" s="633">
        <v>3.3624999999999998</v>
      </c>
      <c r="BR37" s="58">
        <v>3.3597000000000001</v>
      </c>
      <c r="BS37" s="58">
        <v>3.3465214787224102</v>
      </c>
      <c r="BT37" s="58">
        <v>3.3281997325969108</v>
      </c>
      <c r="BU37" s="58">
        <v>3.3360266790484578</v>
      </c>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38"/>
      <c r="CY37" s="56">
        <v>2.6964999999999999</v>
      </c>
      <c r="CZ37" s="56">
        <v>2.5514999999999999</v>
      </c>
      <c r="DA37" s="56">
        <v>2.7989999999999999</v>
      </c>
      <c r="DB37" s="56">
        <v>2.9794999999999998</v>
      </c>
      <c r="DC37" s="56">
        <v>3.4140000000000001</v>
      </c>
      <c r="DD37" s="56">
        <v>3.3559999999999999</v>
      </c>
      <c r="DE37" s="56">
        <v>3.2374000000000001</v>
      </c>
      <c r="DF37" s="543">
        <v>3.3685</v>
      </c>
      <c r="DG37" s="543">
        <v>3.3130000000000002</v>
      </c>
      <c r="DH37" s="543">
        <v>3.6179999999999999</v>
      </c>
      <c r="DI37" s="543">
        <v>4.0015000000000001</v>
      </c>
      <c r="DJ37" s="543">
        <v>3.8060999999999998</v>
      </c>
      <c r="DK37" s="543">
        <v>3.7042000000000002</v>
      </c>
      <c r="DL37" s="57">
        <v>3.7403</v>
      </c>
      <c r="DM37" s="58">
        <v>3.3624999999999998</v>
      </c>
      <c r="DN37" s="58">
        <v>3.3360266790484578</v>
      </c>
      <c r="DO37" s="59">
        <v>3.3422408463917828</v>
      </c>
      <c r="DP37" s="59">
        <v>3.3484665891448646</v>
      </c>
      <c r="DQ37" s="59">
        <v>3.3547039288697418</v>
      </c>
      <c r="DR37" s="59">
        <v>3.3609528871686161</v>
      </c>
      <c r="DS37" s="59">
        <v>3.3672134856839295</v>
      </c>
      <c r="DT37" s="59">
        <v>3.3734857460984382</v>
      </c>
      <c r="DU37" s="59">
        <v>3.3797696901352876</v>
      </c>
      <c r="DV37" s="59">
        <v>3.3860653395580878</v>
      </c>
      <c r="DW37" s="59">
        <v>3.3923727161709896</v>
      </c>
      <c r="DX37" s="59">
        <v>3.3986918418187586</v>
      </c>
      <c r="DY37" s="59">
        <v>3.4050227383868519</v>
      </c>
      <c r="DZ37" s="59">
        <v>3.4113654278014933</v>
      </c>
      <c r="EA37" s="59">
        <v>3.4177199320297502</v>
      </c>
      <c r="EB37" s="59">
        <v>3.4240862730796087</v>
      </c>
    </row>
    <row r="38" spans="1:136" s="554" customFormat="1" ht="12" thickBot="1">
      <c r="A38" s="55" t="s">
        <v>479</v>
      </c>
      <c r="B38" s="60">
        <v>2548.3000000000002</v>
      </c>
      <c r="C38" s="60">
        <v>2143.15</v>
      </c>
      <c r="D38" s="60">
        <v>1919.73</v>
      </c>
      <c r="E38" s="60">
        <v>2043.79</v>
      </c>
      <c r="F38" s="60">
        <v>1920.35</v>
      </c>
      <c r="G38" s="60">
        <v>1900.11</v>
      </c>
      <c r="H38" s="60">
        <v>1802.18</v>
      </c>
      <c r="I38" s="60">
        <v>1907.7</v>
      </c>
      <c r="J38" s="60">
        <v>1871</v>
      </c>
      <c r="K38" s="60">
        <v>1770.78</v>
      </c>
      <c r="L38" s="60">
        <v>1931.98</v>
      </c>
      <c r="M38" s="60">
        <v>1938.5</v>
      </c>
      <c r="N38" s="60">
        <v>1788.75</v>
      </c>
      <c r="O38" s="60">
        <v>1783.76</v>
      </c>
      <c r="P38" s="60">
        <v>1800.53</v>
      </c>
      <c r="Q38" s="60">
        <v>1767</v>
      </c>
      <c r="R38" s="60">
        <v>1825</v>
      </c>
      <c r="S38" s="60">
        <v>1922.77</v>
      </c>
      <c r="T38" s="60">
        <v>1916.98</v>
      </c>
      <c r="U38" s="60">
        <v>1929.51</v>
      </c>
      <c r="V38" s="60">
        <v>1971.2</v>
      </c>
      <c r="W38" s="60">
        <v>1877.44</v>
      </c>
      <c r="X38" s="60">
        <v>2024.85</v>
      </c>
      <c r="Y38" s="60">
        <v>2376.5100000000002</v>
      </c>
      <c r="Z38" s="60">
        <v>2599.62</v>
      </c>
      <c r="AA38" s="60">
        <v>2606</v>
      </c>
      <c r="AB38" s="60">
        <v>3087.44</v>
      </c>
      <c r="AC38" s="60">
        <v>3174.5</v>
      </c>
      <c r="AD38" s="60">
        <v>3002.2</v>
      </c>
      <c r="AE38" s="60">
        <v>2920.35</v>
      </c>
      <c r="AF38" s="60">
        <v>2882.06</v>
      </c>
      <c r="AG38" s="60">
        <v>3002</v>
      </c>
      <c r="AH38" s="60">
        <v>2873.98</v>
      </c>
      <c r="AI38" s="60">
        <v>3045.67</v>
      </c>
      <c r="AJ38" s="60">
        <v>2937.65</v>
      </c>
      <c r="AK38" s="60">
        <v>2985.78</v>
      </c>
      <c r="AL38" s="60">
        <v>2794.06</v>
      </c>
      <c r="AM38" s="60">
        <v>2931.61</v>
      </c>
      <c r="AN38" s="60">
        <v>2966.17</v>
      </c>
      <c r="AO38" s="60">
        <v>3254.25</v>
      </c>
      <c r="AP38" s="60">
        <v>3188.74</v>
      </c>
      <c r="AQ38" s="60">
        <v>3211.36</v>
      </c>
      <c r="AR38" s="560">
        <v>3477.98</v>
      </c>
      <c r="AS38" s="560">
        <v>3287.23</v>
      </c>
      <c r="AT38" s="560">
        <v>4065.37</v>
      </c>
      <c r="AU38" s="560">
        <v>3758.06</v>
      </c>
      <c r="AV38" s="560">
        <v>3828.4</v>
      </c>
      <c r="AW38" s="560">
        <v>3428.26</v>
      </c>
      <c r="AX38" s="560">
        <v>3663.44</v>
      </c>
      <c r="AY38" s="560">
        <v>3755.08</v>
      </c>
      <c r="AZ38" s="560">
        <v>3809.13</v>
      </c>
      <c r="BA38" s="560">
        <v>4064.92</v>
      </c>
      <c r="BB38" s="560">
        <v>3764.45</v>
      </c>
      <c r="BC38" s="560">
        <v>4151.66</v>
      </c>
      <c r="BD38" s="560">
        <v>4606.84</v>
      </c>
      <c r="BE38" s="560">
        <v>4850.83</v>
      </c>
      <c r="BF38" s="560">
        <v>4663.25</v>
      </c>
      <c r="BG38" s="560">
        <v>4171.7</v>
      </c>
      <c r="BH38" s="560">
        <v>4067.88</v>
      </c>
      <c r="BI38" s="560">
        <v>3854.92</v>
      </c>
      <c r="BJ38" s="560">
        <v>3852.31</v>
      </c>
      <c r="BK38" s="560">
        <v>4153.08</v>
      </c>
      <c r="BL38" s="560">
        <v>4206.8999999999996</v>
      </c>
      <c r="BM38" s="560">
        <v>4405.7700000000004</v>
      </c>
      <c r="BN38" s="560">
        <v>4182.91</v>
      </c>
      <c r="BO38" s="560">
        <v>4099.51</v>
      </c>
      <c r="BP38" s="110">
        <v>3920.46</v>
      </c>
      <c r="BQ38" s="633">
        <v>3777.62</v>
      </c>
      <c r="BR38" s="61">
        <v>3715.39</v>
      </c>
      <c r="BS38" s="61">
        <v>3722.7257531871496</v>
      </c>
      <c r="BT38" s="61">
        <v>3719.6124349142501</v>
      </c>
      <c r="BU38" s="61">
        <v>3728.6088379503317</v>
      </c>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55"/>
      <c r="CY38" s="60">
        <v>1938.5</v>
      </c>
      <c r="CZ38" s="60">
        <v>1767</v>
      </c>
      <c r="DA38" s="60">
        <v>1929.51</v>
      </c>
      <c r="DB38" s="60">
        <v>2376.5100000000002</v>
      </c>
      <c r="DC38" s="60">
        <v>3174.5</v>
      </c>
      <c r="DD38" s="60">
        <v>3002</v>
      </c>
      <c r="DE38" s="60">
        <v>2985.78</v>
      </c>
      <c r="DF38" s="560">
        <v>3254.25</v>
      </c>
      <c r="DG38" s="560">
        <v>3287.23</v>
      </c>
      <c r="DH38" s="560">
        <v>3428.26</v>
      </c>
      <c r="DI38" s="560">
        <v>4064.92</v>
      </c>
      <c r="DJ38" s="560">
        <v>4850.83</v>
      </c>
      <c r="DK38" s="560">
        <v>3854.92</v>
      </c>
      <c r="DL38" s="110">
        <v>4405.7700000000004</v>
      </c>
      <c r="DM38" s="61">
        <v>3777.62</v>
      </c>
      <c r="DN38" s="58">
        <v>3728.6088379503317</v>
      </c>
      <c r="DO38" s="62">
        <v>3819.9963094687209</v>
      </c>
      <c r="DP38" s="62">
        <v>3913.6236699949136</v>
      </c>
      <c r="DQ38" s="62">
        <v>4009.5458187692975</v>
      </c>
      <c r="DR38" s="62">
        <v>4107.8190006018776</v>
      </c>
      <c r="DS38" s="62">
        <v>4208.5008388519227</v>
      </c>
      <c r="DT38" s="62">
        <v>4311.6503692159395</v>
      </c>
      <c r="DU38" s="62">
        <v>4417.3280743437799</v>
      </c>
      <c r="DV38" s="62">
        <v>4525.5959193031849</v>
      </c>
      <c r="DW38" s="62">
        <v>4636.5173879135564</v>
      </c>
      <c r="DX38" s="62">
        <v>4750.1575199702602</v>
      </c>
      <c r="DY38" s="62">
        <v>4866.5829493812944</v>
      </c>
      <c r="DZ38" s="62">
        <v>4985.8619432386777</v>
      </c>
      <c r="EA38" s="62">
        <v>5108.0644418474676</v>
      </c>
      <c r="EB38" s="62">
        <v>5233.2620997358845</v>
      </c>
      <c r="EE38" s="554" t="s">
        <v>544</v>
      </c>
      <c r="EF38" s="554" t="s">
        <v>545</v>
      </c>
    </row>
    <row r="39" spans="1:136" s="553" customFormat="1" ht="12" thickBot="1">
      <c r="A39" s="132" t="s">
        <v>480</v>
      </c>
      <c r="B39" s="56">
        <v>3.7185000000000001</v>
      </c>
      <c r="C39" s="56">
        <v>3.7955999999999999</v>
      </c>
      <c r="D39" s="56">
        <v>3.8416000000000001</v>
      </c>
      <c r="E39" s="56">
        <v>3.7989999999999999</v>
      </c>
      <c r="F39" s="56">
        <v>3.8788</v>
      </c>
      <c r="G39" s="56">
        <v>3.9304999999999999</v>
      </c>
      <c r="H39" s="56">
        <v>3.9595000000000002</v>
      </c>
      <c r="I39" s="56">
        <v>3.9786999999999999</v>
      </c>
      <c r="J39" s="56">
        <v>4.0517000000000003</v>
      </c>
      <c r="K39" s="56">
        <v>4.1085000000000003</v>
      </c>
      <c r="L39" s="56">
        <v>4.2047999999999996</v>
      </c>
      <c r="M39" s="56">
        <v>4.3</v>
      </c>
      <c r="N39" s="56">
        <v>4.3788</v>
      </c>
      <c r="O39" s="56">
        <v>4.5259999999999998</v>
      </c>
      <c r="P39" s="56">
        <v>4.6966000000000001</v>
      </c>
      <c r="Q39" s="56">
        <v>4.9154999999999998</v>
      </c>
      <c r="R39" s="56">
        <v>5.1212999999999997</v>
      </c>
      <c r="S39" s="56">
        <v>5.3864999999999998</v>
      </c>
      <c r="T39" s="56">
        <v>5.7915000000000001</v>
      </c>
      <c r="U39" s="56">
        <v>6.5197000000000003</v>
      </c>
      <c r="V39" s="56">
        <v>8.0029000000000003</v>
      </c>
      <c r="W39" s="56">
        <v>8.1323000000000008</v>
      </c>
      <c r="X39" s="56">
        <v>8.4275000000000002</v>
      </c>
      <c r="Y39" s="56">
        <v>8.4649999999999999</v>
      </c>
      <c r="Z39" s="56">
        <v>8.8189999999999991</v>
      </c>
      <c r="AA39" s="56">
        <v>9.0869</v>
      </c>
      <c r="AB39" s="56">
        <v>9.4185999999999996</v>
      </c>
      <c r="AC39" s="56">
        <v>12.9315</v>
      </c>
      <c r="AD39" s="56">
        <v>14.704499999999999</v>
      </c>
      <c r="AE39" s="56">
        <v>15.045</v>
      </c>
      <c r="AF39" s="56">
        <v>15.307499999999999</v>
      </c>
      <c r="AG39" s="56">
        <v>15.88</v>
      </c>
      <c r="AH39" s="56">
        <v>15.39</v>
      </c>
      <c r="AI39" s="56">
        <v>16.600999999999999</v>
      </c>
      <c r="AJ39" s="56">
        <v>17.329999999999998</v>
      </c>
      <c r="AK39" s="56">
        <v>18.649000000000001</v>
      </c>
      <c r="AL39" s="56">
        <v>20.149000000000001</v>
      </c>
      <c r="AM39" s="56">
        <v>28.85</v>
      </c>
      <c r="AN39" s="56">
        <v>41.25</v>
      </c>
      <c r="AO39" s="56">
        <v>37.700000000000003</v>
      </c>
      <c r="AP39" s="56">
        <v>43.344999999999999</v>
      </c>
      <c r="AQ39" s="56">
        <v>42.45</v>
      </c>
      <c r="AR39" s="543">
        <v>57.594999999999999</v>
      </c>
      <c r="AS39" s="543">
        <v>59.89</v>
      </c>
      <c r="AT39" s="543">
        <v>64.468999999999994</v>
      </c>
      <c r="AU39" s="543">
        <v>70.459999999999994</v>
      </c>
      <c r="AV39" s="543">
        <v>76.180000000000007</v>
      </c>
      <c r="AW39" s="543">
        <v>84.15</v>
      </c>
      <c r="AX39" s="543">
        <v>92</v>
      </c>
      <c r="AY39" s="543">
        <v>95.72</v>
      </c>
      <c r="AZ39" s="543">
        <v>98.74</v>
      </c>
      <c r="BA39" s="543">
        <v>102.72</v>
      </c>
      <c r="BB39" s="543">
        <v>111.01</v>
      </c>
      <c r="BC39" s="543">
        <v>125.23</v>
      </c>
      <c r="BD39" s="543">
        <v>147.32</v>
      </c>
      <c r="BE39" s="543">
        <v>177.16</v>
      </c>
      <c r="BF39" s="543">
        <v>209.01</v>
      </c>
      <c r="BG39" s="543">
        <v>256.7</v>
      </c>
      <c r="BH39" s="560">
        <v>349.9984</v>
      </c>
      <c r="BI39" s="560">
        <v>808.47500000000002</v>
      </c>
      <c r="BJ39" s="560">
        <v>857.6721</v>
      </c>
      <c r="BK39" s="560">
        <v>911.50660000000005</v>
      </c>
      <c r="BL39" s="560">
        <v>968.71939999999995</v>
      </c>
      <c r="BM39" s="560">
        <v>1030.9849999999999</v>
      </c>
      <c r="BN39" s="560">
        <v>1073.1025</v>
      </c>
      <c r="BO39" s="560">
        <v>1203.6274000000001</v>
      </c>
      <c r="BP39" s="110">
        <v>1379.6954000000001</v>
      </c>
      <c r="BQ39" s="633">
        <v>1451.6225999999999</v>
      </c>
      <c r="BR39" s="198">
        <v>1466.2524000000001</v>
      </c>
      <c r="BS39" s="198">
        <v>1662.3541891033699</v>
      </c>
      <c r="BT39" s="198">
        <v>1716.1167184039998</v>
      </c>
      <c r="BU39" s="198">
        <v>1759.3775771247574</v>
      </c>
      <c r="BV39" s="130" t="s">
        <v>464</v>
      </c>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44"/>
      <c r="CX39" s="38"/>
      <c r="CY39" s="56">
        <v>4.3</v>
      </c>
      <c r="CZ39" s="56">
        <v>4.9154999999999998</v>
      </c>
      <c r="DA39" s="56">
        <v>6.5197000000000003</v>
      </c>
      <c r="DB39" s="56">
        <v>8.4649999999999999</v>
      </c>
      <c r="DC39" s="56">
        <v>12.9315</v>
      </c>
      <c r="DD39" s="56">
        <v>15.88</v>
      </c>
      <c r="DE39" s="56">
        <v>18.649000000000001</v>
      </c>
      <c r="DF39" s="543">
        <v>37.700000000000003</v>
      </c>
      <c r="DG39" s="543">
        <v>59.89</v>
      </c>
      <c r="DH39" s="543">
        <v>84.15</v>
      </c>
      <c r="DI39" s="543">
        <v>102.72</v>
      </c>
      <c r="DJ39" s="634">
        <v>177.16</v>
      </c>
      <c r="DK39" s="560">
        <v>808.47500000000002</v>
      </c>
      <c r="DL39" s="110">
        <v>1030.9849999999999</v>
      </c>
      <c r="DM39" s="61">
        <v>1451.6225999999999</v>
      </c>
      <c r="DN39" s="87">
        <v>1759.3775771247574</v>
      </c>
      <c r="DO39" s="62">
        <v>1897.3679753306208</v>
      </c>
      <c r="DP39" s="62">
        <v>2008.9778562324223</v>
      </c>
      <c r="DQ39" s="62">
        <v>2127.153024246094</v>
      </c>
      <c r="DR39" s="62">
        <v>2252.2796727311588</v>
      </c>
      <c r="DS39" s="62">
        <v>2384.7667123035803</v>
      </c>
      <c r="DT39" s="62">
        <v>2525.0471071449674</v>
      </c>
      <c r="DU39" s="62">
        <v>2673.5792899182006</v>
      </c>
      <c r="DV39" s="62">
        <v>2830.8486599133889</v>
      </c>
      <c r="DW39" s="62">
        <v>2997.369169320059</v>
      </c>
      <c r="DX39" s="62">
        <v>3173.6850028094746</v>
      </c>
      <c r="DY39" s="62">
        <v>3360.3723559159143</v>
      </c>
      <c r="DZ39" s="62">
        <v>3558.0413180286155</v>
      </c>
      <c r="EA39" s="62">
        <v>3767.337866147946</v>
      </c>
      <c r="EB39" s="62">
        <v>3988.9459759213546</v>
      </c>
      <c r="ED39" s="553" t="s">
        <v>546</v>
      </c>
      <c r="EE39" s="553">
        <v>9.931009128046723</v>
      </c>
      <c r="EF39" s="553">
        <v>357.92443843449445</v>
      </c>
    </row>
    <row r="40" spans="1:136">
      <c r="A40" s="38" t="s">
        <v>481</v>
      </c>
      <c r="B40" s="56">
        <v>2.3228</v>
      </c>
      <c r="C40" s="56">
        <v>1.9518</v>
      </c>
      <c r="D40" s="56">
        <v>1.7669999999999999</v>
      </c>
      <c r="E40" s="56">
        <v>1.7444999999999999</v>
      </c>
      <c r="F40" s="56">
        <v>1.7789999999999999</v>
      </c>
      <c r="G40" s="56">
        <v>1.8047</v>
      </c>
      <c r="H40" s="56">
        <v>1.6873</v>
      </c>
      <c r="I40" s="56">
        <v>1.6613</v>
      </c>
      <c r="J40" s="56">
        <v>1.6318000000000001</v>
      </c>
      <c r="K40" s="56">
        <v>1.5632999999999999</v>
      </c>
      <c r="L40" s="56">
        <v>1.8793</v>
      </c>
      <c r="M40" s="56">
        <v>1.8668</v>
      </c>
      <c r="N40" s="56">
        <v>1.8268</v>
      </c>
      <c r="O40" s="56">
        <v>2.0093999999999999</v>
      </c>
      <c r="P40" s="56">
        <v>2.0264000000000002</v>
      </c>
      <c r="Q40" s="56">
        <v>2.0516000000000001</v>
      </c>
      <c r="R40" s="56">
        <v>2.0219</v>
      </c>
      <c r="S40" s="56">
        <v>2.2322000000000002</v>
      </c>
      <c r="T40" s="56">
        <v>2.2168999999999999</v>
      </c>
      <c r="U40" s="56">
        <v>2.3592</v>
      </c>
      <c r="V40" s="56">
        <v>2.2720000000000002</v>
      </c>
      <c r="W40" s="56">
        <v>2.2145000000000001</v>
      </c>
      <c r="X40" s="56">
        <v>2.4460999999999999</v>
      </c>
      <c r="Y40" s="56">
        <v>2.6581999999999999</v>
      </c>
      <c r="Z40" s="56">
        <v>3.1974</v>
      </c>
      <c r="AA40" s="56">
        <v>3.1030000000000002</v>
      </c>
      <c r="AB40" s="56">
        <v>3.9470999999999998</v>
      </c>
      <c r="AC40" s="56">
        <v>3.964</v>
      </c>
      <c r="AD40" s="56">
        <v>3.5928</v>
      </c>
      <c r="AE40" s="56">
        <v>3.2126000000000001</v>
      </c>
      <c r="AF40" s="56">
        <v>3.2612999999999999</v>
      </c>
      <c r="AG40" s="56">
        <v>3.25</v>
      </c>
      <c r="AH40" s="56">
        <v>3.1219999999999999</v>
      </c>
      <c r="AI40" s="56">
        <v>3.3081999999999998</v>
      </c>
      <c r="AJ40" s="56">
        <v>3.1625000000000001</v>
      </c>
      <c r="AK40" s="56">
        <v>3.3125</v>
      </c>
      <c r="AL40" s="56">
        <v>3.3062999999999998</v>
      </c>
      <c r="AM40" s="56">
        <v>3.8769</v>
      </c>
      <c r="AN40" s="56">
        <v>4.0503999999999998</v>
      </c>
      <c r="AO40" s="56">
        <v>3.8812000000000002</v>
      </c>
      <c r="AP40" s="56">
        <v>3.9209999999999998</v>
      </c>
      <c r="AQ40" s="56">
        <v>3.8496999999999999</v>
      </c>
      <c r="AR40" s="543">
        <v>4.157</v>
      </c>
      <c r="AS40" s="56">
        <v>4.0248999999999997</v>
      </c>
      <c r="AT40" s="56">
        <v>5.2053000000000003</v>
      </c>
      <c r="AU40" s="56">
        <v>5.4659000000000004</v>
      </c>
      <c r="AV40" s="543">
        <v>5.6102999999999996</v>
      </c>
      <c r="AW40" s="543">
        <v>5.1935000000000002</v>
      </c>
      <c r="AX40" s="543">
        <v>5.6344000000000003</v>
      </c>
      <c r="AY40" s="543">
        <v>4.9690000000000003</v>
      </c>
      <c r="AZ40" s="543">
        <v>5.4429999999999996</v>
      </c>
      <c r="BA40" s="543">
        <v>5.5713999999999997</v>
      </c>
      <c r="BB40" s="543">
        <v>4.7411000000000003</v>
      </c>
      <c r="BC40" s="543">
        <v>5.2558999999999996</v>
      </c>
      <c r="BD40" s="543">
        <v>5.4138000000000002</v>
      </c>
      <c r="BE40" s="543">
        <v>5.2859999999999996</v>
      </c>
      <c r="BF40" s="543">
        <v>5.0640000000000001</v>
      </c>
      <c r="BG40" s="543">
        <v>4.7854000000000001</v>
      </c>
      <c r="BH40" s="543">
        <v>5.0340999999999996</v>
      </c>
      <c r="BI40" s="543">
        <v>4.8571999999999997</v>
      </c>
      <c r="BJ40" s="543">
        <v>5.0141</v>
      </c>
      <c r="BK40" s="543">
        <v>5.5940000000000003</v>
      </c>
      <c r="BL40" s="543">
        <v>5.4496000000000002</v>
      </c>
      <c r="BM40" s="543">
        <v>6.1773999999999996</v>
      </c>
      <c r="BN40" s="543">
        <v>5.7057000000000002</v>
      </c>
      <c r="BO40" s="543">
        <v>5.4317000000000002</v>
      </c>
      <c r="BP40" s="57">
        <v>5.3217999999999996</v>
      </c>
      <c r="BQ40" s="633">
        <v>5.4748999999999999</v>
      </c>
      <c r="BR40" s="58">
        <v>5.3746999999999998</v>
      </c>
      <c r="BS40" s="58">
        <v>5.3649755614474062</v>
      </c>
      <c r="BT40" s="58">
        <v>5.3609433469093739</v>
      </c>
      <c r="BU40" s="58">
        <v>5.4097780863109879</v>
      </c>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38"/>
      <c r="CY40" s="56">
        <v>1.8668</v>
      </c>
      <c r="CZ40" s="56">
        <v>2.0516000000000001</v>
      </c>
      <c r="DA40" s="56">
        <v>2.3592</v>
      </c>
      <c r="DB40" s="56">
        <v>2.6581999999999999</v>
      </c>
      <c r="DC40" s="56">
        <v>3.964</v>
      </c>
      <c r="DD40" s="56">
        <v>3.25</v>
      </c>
      <c r="DE40" s="56">
        <v>3.3125</v>
      </c>
      <c r="DF40" s="543">
        <v>3.8812000000000002</v>
      </c>
      <c r="DG40" s="543">
        <v>4.0248999999999997</v>
      </c>
      <c r="DH40" s="543">
        <v>5.1935000000000002</v>
      </c>
      <c r="DI40" s="543">
        <v>5.5713999999999997</v>
      </c>
      <c r="DJ40" s="543">
        <v>5.2859999999999996</v>
      </c>
      <c r="DK40" s="543">
        <v>4.8571999999999997</v>
      </c>
      <c r="DL40" s="57">
        <v>6.1773999999999996</v>
      </c>
      <c r="DM40" s="58">
        <v>5.4748999999999999</v>
      </c>
      <c r="DN40" s="58">
        <v>5.4097780863109879</v>
      </c>
      <c r="DO40" s="59">
        <v>5.5163825368353514</v>
      </c>
      <c r="DP40" s="59">
        <v>5.6250877221200479</v>
      </c>
      <c r="DQ40" s="59">
        <v>5.7359350389971198</v>
      </c>
      <c r="DR40" s="59">
        <v>5.8489667000597096</v>
      </c>
      <c r="DS40" s="59">
        <v>5.9642257497373565</v>
      </c>
      <c r="DT40" s="59">
        <v>6.0817560806880637</v>
      </c>
      <c r="DU40" s="59">
        <v>6.2016024505133878</v>
      </c>
      <c r="DV40" s="59">
        <v>6.3238104988029162</v>
      </c>
      <c r="DW40" s="59">
        <v>6.4484267645146209</v>
      </c>
      <c r="DX40" s="59">
        <v>6.5754987036977033</v>
      </c>
      <c r="DY40" s="59">
        <v>6.7050747075646875</v>
      </c>
      <c r="DZ40" s="59">
        <v>6.8372041209196386</v>
      </c>
      <c r="EA40" s="59">
        <v>6.9719372609495256</v>
      </c>
      <c r="EB40" s="59">
        <v>7.109325436385884</v>
      </c>
      <c r="ED40" t="s">
        <v>547</v>
      </c>
      <c r="EE40">
        <v>10.257329680105229</v>
      </c>
      <c r="EF40">
        <v>359.38355096842804</v>
      </c>
    </row>
    <row r="41" spans="1:136" s="27" customFormat="1" ht="11.25">
      <c r="A41" s="38" t="s">
        <v>482</v>
      </c>
      <c r="B41" s="56">
        <v>5120</v>
      </c>
      <c r="C41" s="56">
        <v>5045</v>
      </c>
      <c r="D41" s="56">
        <v>4895</v>
      </c>
      <c r="E41" s="56">
        <v>4672.5</v>
      </c>
      <c r="F41" s="56">
        <v>4745</v>
      </c>
      <c r="G41" s="56">
        <v>4760</v>
      </c>
      <c r="H41" s="56">
        <v>4820</v>
      </c>
      <c r="I41" s="56">
        <v>4645</v>
      </c>
      <c r="J41" s="56">
        <v>4115</v>
      </c>
      <c r="K41" s="56">
        <v>4055</v>
      </c>
      <c r="L41" s="56">
        <v>4180</v>
      </c>
      <c r="M41" s="56">
        <v>4435</v>
      </c>
      <c r="N41" s="56">
        <v>4310</v>
      </c>
      <c r="O41" s="56">
        <v>4540</v>
      </c>
      <c r="P41" s="56">
        <v>4465</v>
      </c>
      <c r="Q41" s="56">
        <v>4220</v>
      </c>
      <c r="R41" s="56">
        <v>4008</v>
      </c>
      <c r="S41" s="56">
        <v>4452.5</v>
      </c>
      <c r="T41" s="56">
        <v>4427.5</v>
      </c>
      <c r="U41" s="56">
        <v>4598.2</v>
      </c>
      <c r="V41" s="56">
        <v>4442.1000000000004</v>
      </c>
      <c r="W41" s="56">
        <v>4386.8999999999996</v>
      </c>
      <c r="X41" s="56">
        <v>4527.5</v>
      </c>
      <c r="Y41" s="56">
        <v>4635.7</v>
      </c>
      <c r="Z41" s="56">
        <v>4798.8</v>
      </c>
      <c r="AA41" s="56">
        <v>5183.5</v>
      </c>
      <c r="AB41" s="56">
        <v>5636.1</v>
      </c>
      <c r="AC41" s="56">
        <v>5782</v>
      </c>
      <c r="AD41" s="56">
        <v>5628.7</v>
      </c>
      <c r="AE41" s="56">
        <v>5589</v>
      </c>
      <c r="AF41" s="56">
        <v>5555.4</v>
      </c>
      <c r="AG41" s="56">
        <v>5737.5</v>
      </c>
      <c r="AH41" s="56">
        <v>5638.1</v>
      </c>
      <c r="AI41" s="56">
        <v>5555</v>
      </c>
      <c r="AJ41" s="56">
        <v>5667.5</v>
      </c>
      <c r="AK41" s="56">
        <v>5588</v>
      </c>
      <c r="AL41" s="56">
        <v>5548.3</v>
      </c>
      <c r="AM41" s="56">
        <v>5693.2</v>
      </c>
      <c r="AN41" s="56">
        <v>5892.9</v>
      </c>
      <c r="AO41" s="56">
        <v>5963.9</v>
      </c>
      <c r="AP41" s="56">
        <v>6190</v>
      </c>
      <c r="AQ41" s="56">
        <v>6197.5</v>
      </c>
      <c r="AR41" s="543">
        <v>6380.1</v>
      </c>
      <c r="AS41" s="543">
        <v>6465</v>
      </c>
      <c r="AT41" s="543">
        <v>6563</v>
      </c>
      <c r="AU41" s="543">
        <v>6817.5</v>
      </c>
      <c r="AV41" s="543">
        <v>6990.2</v>
      </c>
      <c r="AW41" s="543">
        <v>6911.6</v>
      </c>
      <c r="AX41" s="543">
        <v>6311.1</v>
      </c>
      <c r="AY41" s="543">
        <v>6752.3</v>
      </c>
      <c r="AZ41" s="543">
        <v>6907</v>
      </c>
      <c r="BA41" s="543">
        <v>6876.9</v>
      </c>
      <c r="BB41" s="543">
        <v>6941.9</v>
      </c>
      <c r="BC41" s="543">
        <v>6849.1</v>
      </c>
      <c r="BD41" s="543">
        <v>7074.7</v>
      </c>
      <c r="BE41" s="543">
        <v>7339.5</v>
      </c>
      <c r="BF41" s="543">
        <v>7181.8</v>
      </c>
      <c r="BG41" s="560">
        <v>7265.8</v>
      </c>
      <c r="BH41" s="560">
        <v>7287.5</v>
      </c>
      <c r="BI41" s="560">
        <v>7275</v>
      </c>
      <c r="BJ41" s="560">
        <v>7385.5</v>
      </c>
      <c r="BK41" s="560">
        <v>7538.5</v>
      </c>
      <c r="BL41" s="560">
        <v>7793.8</v>
      </c>
      <c r="BM41" s="560">
        <v>7820.2</v>
      </c>
      <c r="BN41" s="560">
        <v>7987.9</v>
      </c>
      <c r="BO41" s="560">
        <v>7928.5</v>
      </c>
      <c r="BP41" s="110">
        <v>6976.3</v>
      </c>
      <c r="BQ41" s="633">
        <v>6598.7</v>
      </c>
      <c r="BR41" s="58">
        <v>6781.3</v>
      </c>
      <c r="BS41" s="58">
        <v>6767.3685198595167</v>
      </c>
      <c r="BT41" s="58">
        <v>6797.5139194282146</v>
      </c>
      <c r="BU41" s="58">
        <v>6884.4946391069334</v>
      </c>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38"/>
      <c r="CY41" s="56">
        <v>4435</v>
      </c>
      <c r="CZ41" s="56">
        <v>4220</v>
      </c>
      <c r="DA41" s="56">
        <v>4598.2</v>
      </c>
      <c r="DB41" s="56">
        <v>4635.7</v>
      </c>
      <c r="DC41" s="56">
        <v>5782</v>
      </c>
      <c r="DD41" s="56">
        <v>5737.5</v>
      </c>
      <c r="DE41" s="56">
        <v>5588</v>
      </c>
      <c r="DF41" s="543">
        <v>5963.9</v>
      </c>
      <c r="DG41" s="543">
        <v>6465</v>
      </c>
      <c r="DH41" s="543">
        <v>6911.6</v>
      </c>
      <c r="DI41" s="543">
        <v>6876.9</v>
      </c>
      <c r="DJ41" s="543">
        <v>7339.5</v>
      </c>
      <c r="DK41" s="543">
        <v>7275</v>
      </c>
      <c r="DL41" s="57">
        <v>7820.2</v>
      </c>
      <c r="DM41" s="58">
        <v>6598.7</v>
      </c>
      <c r="DN41" s="58">
        <v>6884.4946391069334</v>
      </c>
      <c r="DO41" s="59">
        <v>7080.8477550038988</v>
      </c>
      <c r="DP41" s="59">
        <v>7282.801070791128</v>
      </c>
      <c r="DQ41" s="59">
        <v>7490.5143101311032</v>
      </c>
      <c r="DR41" s="59">
        <v>7704.151752175193</v>
      </c>
      <c r="DS41" s="59">
        <v>7923.8823614910434</v>
      </c>
      <c r="DT41" s="59">
        <v>8149.8799216956377</v>
      </c>
      <c r="DU41" s="59">
        <v>8382.3231728997143</v>
      </c>
      <c r="DV41" s="59">
        <v>8621.3959530722477</v>
      </c>
      <c r="DW41" s="59">
        <v>8867.2873434367884</v>
      </c>
      <c r="DX41" s="59">
        <v>9120.191818014664</v>
      </c>
      <c r="DY41" s="59">
        <v>9380.3093974333187</v>
      </c>
      <c r="DZ41" s="59">
        <v>9647.8458071214172</v>
      </c>
      <c r="EA41" s="59">
        <v>9923.0126400158515</v>
      </c>
      <c r="EB41" s="59">
        <v>10206.027523909324</v>
      </c>
      <c r="EE41" s="27">
        <v>0.96818659804886387</v>
      </c>
      <c r="EF41" s="27">
        <v>0.9959399573797918</v>
      </c>
    </row>
    <row r="42" spans="1:136" s="27" customFormat="1" ht="11.25">
      <c r="A42" s="38" t="s">
        <v>483</v>
      </c>
      <c r="B42" s="56">
        <v>14.1456</v>
      </c>
      <c r="C42" s="56">
        <v>13.169700000000001</v>
      </c>
      <c r="D42" s="56">
        <v>13.4885</v>
      </c>
      <c r="E42" s="56">
        <v>13.0817</v>
      </c>
      <c r="F42" s="56">
        <v>12.331899999999999</v>
      </c>
      <c r="G42" s="56">
        <v>12.867000000000001</v>
      </c>
      <c r="H42" s="56">
        <v>12.6005</v>
      </c>
      <c r="I42" s="56">
        <v>12.3401</v>
      </c>
      <c r="J42" s="56">
        <v>11.898899999999999</v>
      </c>
      <c r="K42" s="56">
        <v>11.7141</v>
      </c>
      <c r="L42" s="56">
        <v>13.8973</v>
      </c>
      <c r="M42" s="56">
        <v>13.935700000000001</v>
      </c>
      <c r="N42" s="56">
        <v>12.810700000000001</v>
      </c>
      <c r="O42" s="56">
        <v>13.360799999999999</v>
      </c>
      <c r="P42" s="56">
        <v>12.858499999999999</v>
      </c>
      <c r="Q42" s="56">
        <v>12.9251</v>
      </c>
      <c r="R42" s="56">
        <v>12.331200000000001</v>
      </c>
      <c r="S42" s="56">
        <v>12.9308</v>
      </c>
      <c r="T42" s="56">
        <v>13.166499999999999</v>
      </c>
      <c r="U42" s="56">
        <v>13.0954</v>
      </c>
      <c r="V42" s="56">
        <v>13.0543</v>
      </c>
      <c r="W42" s="56">
        <v>12.976900000000001</v>
      </c>
      <c r="X42" s="56">
        <v>13.427899999999999</v>
      </c>
      <c r="Y42" s="56">
        <v>14.747199999999999</v>
      </c>
      <c r="Z42" s="56">
        <v>15.2707</v>
      </c>
      <c r="AA42" s="56">
        <v>15.688499999999999</v>
      </c>
      <c r="AB42" s="56">
        <v>16.9177</v>
      </c>
      <c r="AC42" s="56">
        <v>17.2075</v>
      </c>
      <c r="AD42" s="56">
        <v>17.279299999999999</v>
      </c>
      <c r="AE42" s="56">
        <v>18.468399999999999</v>
      </c>
      <c r="AF42" s="56">
        <v>19.385200000000001</v>
      </c>
      <c r="AG42" s="56">
        <v>20.7272</v>
      </c>
      <c r="AH42" s="56">
        <v>18.724900000000002</v>
      </c>
      <c r="AI42" s="56">
        <v>18.1203</v>
      </c>
      <c r="AJ42" s="56">
        <v>18.2545</v>
      </c>
      <c r="AK42" s="56">
        <v>19.658999999999999</v>
      </c>
      <c r="AL42" s="56">
        <v>18.1812</v>
      </c>
      <c r="AM42" s="56">
        <v>19.907800000000002</v>
      </c>
      <c r="AN42" s="56">
        <v>18.718299999999999</v>
      </c>
      <c r="AO42" s="56">
        <v>19.650400000000001</v>
      </c>
      <c r="AP42" s="56">
        <v>19.427900000000001</v>
      </c>
      <c r="AQ42" s="56">
        <v>19.222899999999999</v>
      </c>
      <c r="AR42" s="543">
        <v>19.734400000000001</v>
      </c>
      <c r="AS42" s="543">
        <v>18.926500000000001</v>
      </c>
      <c r="AT42" s="543">
        <v>23.6723</v>
      </c>
      <c r="AU42" s="543">
        <v>22.9924</v>
      </c>
      <c r="AV42" s="543">
        <v>22.114599999999999</v>
      </c>
      <c r="AW42" s="543">
        <v>19.914300000000001</v>
      </c>
      <c r="AX42" s="543">
        <v>20.432500000000001</v>
      </c>
      <c r="AY42" s="543">
        <v>19.936499999999999</v>
      </c>
      <c r="AZ42" s="543">
        <v>20.64</v>
      </c>
      <c r="BA42" s="543">
        <v>20.529399999999999</v>
      </c>
      <c r="BB42" s="543">
        <v>19.869900000000001</v>
      </c>
      <c r="BC42" s="543">
        <v>20.118300000000001</v>
      </c>
      <c r="BD42" s="543">
        <v>20.138200000000001</v>
      </c>
      <c r="BE42" s="543">
        <v>19.4999</v>
      </c>
      <c r="BF42" s="543">
        <v>18.046199999999999</v>
      </c>
      <c r="BG42" s="543">
        <v>17.1248</v>
      </c>
      <c r="BH42" s="543">
        <v>17.422699999999999</v>
      </c>
      <c r="BI42" s="543">
        <v>16.972000000000001</v>
      </c>
      <c r="BJ42" s="543">
        <v>16.558599999999998</v>
      </c>
      <c r="BK42" s="543">
        <v>18.318300000000001</v>
      </c>
      <c r="BL42" s="543">
        <v>19.691500000000001</v>
      </c>
      <c r="BM42" s="543">
        <v>20.827200000000001</v>
      </c>
      <c r="BN42" s="543">
        <v>20.4711</v>
      </c>
      <c r="BO42" s="543">
        <v>18.747499999999999</v>
      </c>
      <c r="BP42" s="57">
        <v>18.3123</v>
      </c>
      <c r="BQ42" s="633">
        <v>18.007999999999999</v>
      </c>
      <c r="BR42" s="58">
        <v>17.9222</v>
      </c>
      <c r="BS42" s="58">
        <v>17.948464731798552</v>
      </c>
      <c r="BT42" s="58">
        <v>17.923182183108665</v>
      </c>
      <c r="BU42" s="58">
        <v>18.141521060696697</v>
      </c>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38"/>
      <c r="CY42" s="56">
        <v>13.935700000000001</v>
      </c>
      <c r="CZ42" s="56">
        <v>12.9251</v>
      </c>
      <c r="DA42" s="56">
        <v>13.0954</v>
      </c>
      <c r="DB42" s="56">
        <v>14.747199999999999</v>
      </c>
      <c r="DC42" s="56">
        <v>17.2075</v>
      </c>
      <c r="DD42" s="56">
        <v>20.7272</v>
      </c>
      <c r="DE42" s="56">
        <v>19.658999999999999</v>
      </c>
      <c r="DF42" s="543">
        <v>19.650400000000001</v>
      </c>
      <c r="DG42" s="543">
        <v>18.926500000000001</v>
      </c>
      <c r="DH42" s="543">
        <v>19.914300000000001</v>
      </c>
      <c r="DI42" s="543">
        <v>20.529399999999999</v>
      </c>
      <c r="DJ42" s="543">
        <v>19.4999</v>
      </c>
      <c r="DK42" s="543">
        <v>16.972000000000001</v>
      </c>
      <c r="DL42" s="57">
        <v>20.827200000000001</v>
      </c>
      <c r="DM42" s="58">
        <v>18.007999999999999</v>
      </c>
      <c r="DN42" s="58">
        <v>18.141521060696697</v>
      </c>
      <c r="DO42" s="59">
        <v>18.408308135118705</v>
      </c>
      <c r="DP42" s="59">
        <v>18.679018548870449</v>
      </c>
      <c r="DQ42" s="59">
        <v>18.953709998118541</v>
      </c>
      <c r="DR42" s="59">
        <v>19.232441027502638</v>
      </c>
      <c r="DS42" s="59">
        <v>19.515271042612969</v>
      </c>
      <c r="DT42" s="59">
        <v>19.802260322651392</v>
      </c>
      <c r="DU42" s="59">
        <v>20.093470033278617</v>
      </c>
      <c r="DV42" s="59">
        <v>20.388962239650358</v>
      </c>
      <c r="DW42" s="59">
        <v>20.688799919645216</v>
      </c>
      <c r="DX42" s="59">
        <v>20.993046977287054</v>
      </c>
      <c r="DY42" s="59">
        <v>21.301768256364802</v>
      </c>
      <c r="DZ42" s="59">
        <v>21.615029554252519</v>
      </c>
      <c r="EA42" s="59">
        <v>21.932897635932701</v>
      </c>
      <c r="EB42" s="59">
        <v>22.255440248225828</v>
      </c>
      <c r="EE42" s="27" t="s">
        <v>544</v>
      </c>
      <c r="EF42" s="27" t="s">
        <v>545</v>
      </c>
    </row>
    <row r="43" spans="1:136">
      <c r="A43" s="38" t="s">
        <v>484</v>
      </c>
      <c r="B43" s="56">
        <v>24.05</v>
      </c>
      <c r="C43" s="56">
        <v>23.521999999999998</v>
      </c>
      <c r="D43" s="56">
        <v>21.45</v>
      </c>
      <c r="E43" s="56">
        <v>19.5</v>
      </c>
      <c r="F43" s="56">
        <v>19.45</v>
      </c>
      <c r="G43" s="56">
        <v>21.12</v>
      </c>
      <c r="H43" s="56">
        <v>20.3</v>
      </c>
      <c r="I43" s="56">
        <v>19.899999999999999</v>
      </c>
      <c r="J43" s="56">
        <v>19.25</v>
      </c>
      <c r="K43" s="56">
        <v>18.399999999999999</v>
      </c>
      <c r="L43" s="56">
        <v>20.303899999999999</v>
      </c>
      <c r="M43" s="56">
        <v>19.95</v>
      </c>
      <c r="N43" s="56">
        <v>19.5</v>
      </c>
      <c r="O43" s="56">
        <v>21.63</v>
      </c>
      <c r="P43" s="56">
        <v>21</v>
      </c>
      <c r="Q43" s="56">
        <v>19.18</v>
      </c>
      <c r="R43" s="56">
        <v>18.945</v>
      </c>
      <c r="S43" s="56">
        <v>20.555</v>
      </c>
      <c r="T43" s="56">
        <v>22.05</v>
      </c>
      <c r="U43" s="56">
        <v>21.3995</v>
      </c>
      <c r="V43" s="56">
        <v>22.634</v>
      </c>
      <c r="W43" s="56">
        <v>22.88</v>
      </c>
      <c r="X43" s="56">
        <v>24.68</v>
      </c>
      <c r="Y43" s="56">
        <v>24.332999999999998</v>
      </c>
      <c r="Z43" s="56">
        <v>25.734999999999999</v>
      </c>
      <c r="AA43" s="56">
        <v>27.0505</v>
      </c>
      <c r="AB43" s="56">
        <v>29.097000000000001</v>
      </c>
      <c r="AC43" s="56">
        <v>29.873000000000001</v>
      </c>
      <c r="AD43" s="56">
        <v>31.76</v>
      </c>
      <c r="AE43" s="56">
        <v>30.5</v>
      </c>
      <c r="AF43" s="56">
        <v>28.364999999999998</v>
      </c>
      <c r="AG43" s="56">
        <v>29.260999999999999</v>
      </c>
      <c r="AH43" s="56">
        <v>28.52</v>
      </c>
      <c r="AI43" s="56">
        <v>28.524999999999999</v>
      </c>
      <c r="AJ43" s="56">
        <v>28.99</v>
      </c>
      <c r="AK43" s="56">
        <v>28.7</v>
      </c>
      <c r="AL43" s="56">
        <v>28.335000000000001</v>
      </c>
      <c r="AM43" s="56">
        <v>31.484999999999999</v>
      </c>
      <c r="AN43" s="56">
        <v>33.35</v>
      </c>
      <c r="AO43" s="56">
        <v>32.4</v>
      </c>
      <c r="AP43" s="56">
        <v>33.47</v>
      </c>
      <c r="AQ43" s="56">
        <v>35.18</v>
      </c>
      <c r="AR43" s="543">
        <v>36.96</v>
      </c>
      <c r="AS43" s="543">
        <v>37.35</v>
      </c>
      <c r="AT43" s="543">
        <v>43.1</v>
      </c>
      <c r="AU43" s="543">
        <v>42.202500000000001</v>
      </c>
      <c r="AV43" s="543">
        <v>42.55</v>
      </c>
      <c r="AW43" s="543">
        <v>42.352499999999999</v>
      </c>
      <c r="AX43" s="543">
        <v>44.22</v>
      </c>
      <c r="AY43" s="543">
        <v>43.607500000000002</v>
      </c>
      <c r="AZ43" s="543">
        <v>42.942500000000003</v>
      </c>
      <c r="BA43" s="543">
        <v>44.6875</v>
      </c>
      <c r="BB43" s="543">
        <v>41.137500000000003</v>
      </c>
      <c r="BC43" s="543">
        <v>39.772500000000001</v>
      </c>
      <c r="BD43" s="543">
        <v>41.712499999999999</v>
      </c>
      <c r="BE43" s="543">
        <v>39.912500000000001</v>
      </c>
      <c r="BF43" s="543">
        <v>38.664999999999999</v>
      </c>
      <c r="BG43" s="543">
        <v>37.5</v>
      </c>
      <c r="BH43" s="543">
        <v>38.4925</v>
      </c>
      <c r="BI43" s="543">
        <v>38.85</v>
      </c>
      <c r="BJ43" s="543">
        <v>37.549999999999997</v>
      </c>
      <c r="BK43" s="543">
        <v>39.950000000000003</v>
      </c>
      <c r="BL43" s="543">
        <v>41.8</v>
      </c>
      <c r="BM43" s="543">
        <v>43.95</v>
      </c>
      <c r="BN43" s="543">
        <v>42.134999999999998</v>
      </c>
      <c r="BO43" s="543">
        <v>39.774999999999999</v>
      </c>
      <c r="BP43" s="57">
        <v>39.865000000000002</v>
      </c>
      <c r="BQ43" s="633">
        <v>38.950000000000003</v>
      </c>
      <c r="BR43" s="58">
        <v>38.725000000000001</v>
      </c>
      <c r="BS43" s="58">
        <v>39.035293213396699</v>
      </c>
      <c r="BT43" s="58">
        <v>39.447913266999677</v>
      </c>
      <c r="BU43" s="58">
        <v>39.751849634906925</v>
      </c>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38"/>
      <c r="CY43" s="56">
        <v>19.95</v>
      </c>
      <c r="CZ43" s="56">
        <v>19.18</v>
      </c>
      <c r="DA43" s="56">
        <v>21.3995</v>
      </c>
      <c r="DB43" s="56">
        <v>24.332999999999998</v>
      </c>
      <c r="DC43" s="56">
        <v>29.873000000000001</v>
      </c>
      <c r="DD43" s="56">
        <v>29.260999999999999</v>
      </c>
      <c r="DE43" s="56">
        <v>28.7</v>
      </c>
      <c r="DF43" s="543">
        <v>32.4</v>
      </c>
      <c r="DG43" s="543">
        <v>37.35</v>
      </c>
      <c r="DH43" s="543">
        <v>42.352499999999999</v>
      </c>
      <c r="DI43" s="543">
        <v>44.6875</v>
      </c>
      <c r="DJ43" s="543">
        <v>39.912500000000001</v>
      </c>
      <c r="DK43" s="543">
        <v>38.85</v>
      </c>
      <c r="DL43" s="57">
        <v>43.95</v>
      </c>
      <c r="DM43" s="58">
        <v>38.950000000000003</v>
      </c>
      <c r="DN43" s="58">
        <v>39.751849634906925</v>
      </c>
      <c r="DO43" s="59">
        <v>42.041556331942118</v>
      </c>
      <c r="DP43" s="59">
        <v>44.463150143831051</v>
      </c>
      <c r="DQ43" s="59">
        <v>47.024227768913732</v>
      </c>
      <c r="DR43" s="59">
        <v>49.732823475384741</v>
      </c>
      <c r="DS43" s="59">
        <v>52.597434305318622</v>
      </c>
      <c r="DT43" s="59">
        <v>55.627046730447191</v>
      </c>
      <c r="DU43" s="59">
        <v>58.831164843309757</v>
      </c>
      <c r="DV43" s="59">
        <v>62.219840172213686</v>
      </c>
      <c r="DW43" s="59">
        <v>65.803703213536807</v>
      </c>
      <c r="DX43" s="59">
        <v>69.593996780290595</v>
      </c>
      <c r="DY43" s="59">
        <v>73.602611271560676</v>
      </c>
      <c r="DZ43" s="59">
        <v>77.842121973467286</v>
      </c>
      <c r="EA43" s="59">
        <v>82.325828508661218</v>
      </c>
      <c r="EB43" s="59">
        <v>87.067796558110786</v>
      </c>
      <c r="ED43" t="s">
        <v>548</v>
      </c>
      <c r="EE43">
        <v>1.0392934547600285</v>
      </c>
      <c r="EF43">
        <v>1.8459387273578947</v>
      </c>
    </row>
    <row r="44" spans="1:136">
      <c r="A44" s="38" t="s">
        <v>485</v>
      </c>
      <c r="B44" s="56"/>
      <c r="C44" s="56"/>
      <c r="D44" s="56"/>
      <c r="E44" s="56"/>
      <c r="F44" s="56">
        <v>1.3509862199405567</v>
      </c>
      <c r="G44" s="56">
        <v>1.2236906510034262</v>
      </c>
      <c r="H44" s="56">
        <v>1.3635124079629124</v>
      </c>
      <c r="I44" s="56">
        <v>1.3385089010841922</v>
      </c>
      <c r="J44" s="56">
        <v>1.4156285390713477</v>
      </c>
      <c r="K44" s="56">
        <v>1.4501160092807426</v>
      </c>
      <c r="L44" s="56">
        <v>1.3390465988216389</v>
      </c>
      <c r="M44" s="56">
        <v>1.2963443090484834</v>
      </c>
      <c r="N44" s="56">
        <v>1.3342228152101401</v>
      </c>
      <c r="O44" s="56">
        <v>1.2659830358273199</v>
      </c>
      <c r="P44" s="56">
        <v>1.2858428700012858</v>
      </c>
      <c r="Q44" s="56">
        <v>1.3192612137203166</v>
      </c>
      <c r="R44" s="56">
        <v>1.2817226352217379</v>
      </c>
      <c r="S44" s="56">
        <v>1.3008976193573565</v>
      </c>
      <c r="T44" s="56">
        <v>1.3526308670363858</v>
      </c>
      <c r="U44" s="56">
        <v>1.3741926618111859</v>
      </c>
      <c r="V44" s="56">
        <v>1.3768415255404105</v>
      </c>
      <c r="W44" s="56">
        <v>1.3689253935660506</v>
      </c>
      <c r="X44" s="56">
        <v>1.2631047113805736</v>
      </c>
      <c r="Y44" s="56">
        <v>1.2097749818533752</v>
      </c>
      <c r="Z44" s="56">
        <v>1.0731916720326251</v>
      </c>
      <c r="AA44" s="56">
        <v>1.1137097672346585</v>
      </c>
      <c r="AB44" s="56">
        <v>1.1176930814798256</v>
      </c>
      <c r="AC44" s="56">
        <v>1.0857763300760044</v>
      </c>
      <c r="AD44" s="56">
        <v>1.1380448389666553</v>
      </c>
      <c r="AE44" s="56">
        <v>1.1106175033318526</v>
      </c>
      <c r="AF44" s="56">
        <v>1.1234692731153804</v>
      </c>
      <c r="AG44" s="56">
        <v>1.051967178624027</v>
      </c>
      <c r="AH44" s="56">
        <v>1.0651999999999999</v>
      </c>
      <c r="AI44" s="56">
        <v>1.1426000000000001</v>
      </c>
      <c r="AJ44" s="56">
        <v>1.1814</v>
      </c>
      <c r="AK44" s="56">
        <v>1.2004999999999999</v>
      </c>
      <c r="AL44" s="56">
        <v>1.2323999999999999</v>
      </c>
      <c r="AM44" s="56">
        <v>1.1684000000000001</v>
      </c>
      <c r="AN44" s="56">
        <v>1.1604000000000001</v>
      </c>
      <c r="AO44" s="56">
        <v>1.1467000000000001</v>
      </c>
      <c r="AP44" s="56">
        <v>1.1217999999999999</v>
      </c>
      <c r="AQ44" s="56">
        <v>1.1373</v>
      </c>
      <c r="AR44" s="543">
        <v>1.0899000000000001</v>
      </c>
      <c r="AS44" s="543">
        <v>1.1213</v>
      </c>
      <c r="AT44" s="543">
        <v>1.1031</v>
      </c>
      <c r="AU44" s="543">
        <v>1.1234</v>
      </c>
      <c r="AV44" s="543">
        <v>1.1720999999999999</v>
      </c>
      <c r="AW44" s="543">
        <v>1.2216</v>
      </c>
      <c r="AX44" s="543">
        <v>1.173</v>
      </c>
      <c r="AY44" s="543">
        <v>1.1858</v>
      </c>
      <c r="AZ44" s="543">
        <v>1.1579999999999999</v>
      </c>
      <c r="BA44" s="543">
        <v>1.137</v>
      </c>
      <c r="BB44" s="543">
        <v>1.1067</v>
      </c>
      <c r="BC44" s="543">
        <v>1.0484</v>
      </c>
      <c r="BD44" s="543">
        <v>0.98019999999999996</v>
      </c>
      <c r="BE44" s="543">
        <v>1.0705</v>
      </c>
      <c r="BF44" s="543">
        <v>1.0839000000000001</v>
      </c>
      <c r="BG44" s="543">
        <v>1.0909</v>
      </c>
      <c r="BH44" s="543">
        <v>1.0572999999999999</v>
      </c>
      <c r="BI44" s="543">
        <v>1.1039000000000001</v>
      </c>
      <c r="BJ44" s="543">
        <v>1.079</v>
      </c>
      <c r="BK44" s="543">
        <v>1.0712999999999999</v>
      </c>
      <c r="BL44" s="543">
        <v>1.1134999999999999</v>
      </c>
      <c r="BM44" s="543">
        <v>1.0354000000000001</v>
      </c>
      <c r="BN44" s="543">
        <v>1.0815999999999999</v>
      </c>
      <c r="BO44" s="543">
        <v>1.1787000000000001</v>
      </c>
      <c r="BP44" s="57">
        <v>1.1734</v>
      </c>
      <c r="BQ44" s="633">
        <v>1.1746000000000001</v>
      </c>
      <c r="BR44" s="87">
        <v>1.1676</v>
      </c>
      <c r="BS44" s="87">
        <v>1.1676</v>
      </c>
      <c r="BT44" s="87">
        <v>1.1676</v>
      </c>
      <c r="BU44" s="87">
        <v>1.1676</v>
      </c>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58"/>
      <c r="CW44" s="58"/>
      <c r="CX44" s="38"/>
      <c r="CY44" s="56">
        <v>1.2963443090484834</v>
      </c>
      <c r="CZ44" s="56">
        <v>1.3192612137203166</v>
      </c>
      <c r="DA44" s="56">
        <v>1.3741926618111859</v>
      </c>
      <c r="DB44" s="56">
        <v>1.2097749818533752</v>
      </c>
      <c r="DC44" s="56">
        <v>1.0857763300760044</v>
      </c>
      <c r="DD44" s="56">
        <v>1.051967178624027</v>
      </c>
      <c r="DE44" s="56">
        <v>1.2004999999999999</v>
      </c>
      <c r="DF44" s="543">
        <v>1.1467000000000001</v>
      </c>
      <c r="DG44" s="543">
        <v>1.1213</v>
      </c>
      <c r="DH44" s="543">
        <v>1.2216</v>
      </c>
      <c r="DI44" s="543">
        <v>1.137</v>
      </c>
      <c r="DJ44" s="543">
        <v>1.0705</v>
      </c>
      <c r="DK44" s="543">
        <v>1.1039000000000001</v>
      </c>
      <c r="DL44" s="57">
        <v>1.0354000000000001</v>
      </c>
      <c r="DM44" s="58">
        <v>1.1746000000000001</v>
      </c>
      <c r="DN44" s="58">
        <v>1.1676</v>
      </c>
      <c r="DO44" s="59">
        <v>1.1664552941176471</v>
      </c>
      <c r="DP44" s="59">
        <v>1.1653117104959634</v>
      </c>
      <c r="DQ44" s="59">
        <v>1.1641692480346928</v>
      </c>
      <c r="DR44" s="59">
        <v>1.1630279056346589</v>
      </c>
      <c r="DS44" s="59">
        <v>1.1618876821977624</v>
      </c>
      <c r="DT44" s="59">
        <v>1.1607485766269805</v>
      </c>
      <c r="DU44" s="59">
        <v>1.1596105878263661</v>
      </c>
      <c r="DV44" s="59">
        <v>1.1584737147010462</v>
      </c>
      <c r="DW44" s="59">
        <v>1.1573379561572217</v>
      </c>
      <c r="DX44" s="59">
        <v>1.1562033111021657</v>
      </c>
      <c r="DY44" s="59">
        <v>1.1550697784442223</v>
      </c>
      <c r="DZ44" s="59">
        <v>1.1539373570928066</v>
      </c>
      <c r="EA44" s="59">
        <v>1.1528060459584022</v>
      </c>
      <c r="EB44" s="59">
        <v>1.1516758439525607</v>
      </c>
      <c r="ED44" t="s">
        <v>547</v>
      </c>
      <c r="EE44">
        <v>1.1576771937043513</v>
      </c>
      <c r="EF44">
        <v>1.7991654676258992</v>
      </c>
    </row>
    <row r="45" spans="1:136">
      <c r="A45" s="38"/>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43"/>
      <c r="AS45" s="543"/>
      <c r="AT45" s="543"/>
      <c r="AU45" s="543"/>
      <c r="AV45" s="543"/>
      <c r="AW45" s="543"/>
      <c r="AX45" s="543"/>
      <c r="AY45" s="543"/>
      <c r="AZ45" s="543"/>
      <c r="BA45" s="543"/>
      <c r="BB45" s="543"/>
      <c r="BC45" s="543"/>
      <c r="BD45" s="543"/>
      <c r="BE45" s="543"/>
      <c r="BF45" s="543"/>
      <c r="BG45" s="543"/>
      <c r="BH45" s="543"/>
      <c r="BI45" s="543"/>
      <c r="BJ45" s="543"/>
      <c r="BK45" s="543"/>
      <c r="BL45" s="543"/>
      <c r="BM45" s="543"/>
      <c r="BN45" s="543"/>
      <c r="BO45" s="543"/>
      <c r="BP45" s="57"/>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38"/>
      <c r="CY45" s="56"/>
      <c r="CZ45" s="56"/>
      <c r="DA45" s="56" t="s">
        <v>549</v>
      </c>
      <c r="DB45" s="56" t="s">
        <v>550</v>
      </c>
      <c r="DC45" s="635">
        <v>0.28703353788452124</v>
      </c>
      <c r="DD45" s="56"/>
      <c r="DE45" s="56"/>
      <c r="DF45" s="543" t="s">
        <v>551</v>
      </c>
      <c r="DG45" s="635">
        <v>0.40997693898780496</v>
      </c>
      <c r="DH45" s="543"/>
      <c r="DI45" s="543"/>
      <c r="DJ45" s="543" t="s">
        <v>552</v>
      </c>
      <c r="DK45" s="635">
        <v>0.87899862940573836</v>
      </c>
      <c r="DL45" s="57"/>
      <c r="DM45" s="59"/>
      <c r="DN45" s="59" t="s">
        <v>553</v>
      </c>
      <c r="DO45" s="635">
        <v>0.37966847085260658</v>
      </c>
      <c r="DP45" s="59"/>
      <c r="DQ45" s="59"/>
      <c r="DR45" s="59"/>
      <c r="DS45" s="59"/>
      <c r="DT45" s="59"/>
      <c r="DU45" s="59"/>
      <c r="DV45" s="59"/>
      <c r="DW45" s="59"/>
      <c r="DX45" s="59"/>
      <c r="DY45" s="59"/>
      <c r="DZ45" s="59"/>
      <c r="EA45" s="59"/>
      <c r="EB45" s="59"/>
      <c r="EE45">
        <v>0.89774028581705334</v>
      </c>
      <c r="EF45">
        <v>1.0259971973526789</v>
      </c>
    </row>
    <row r="46" spans="1:136">
      <c r="A46" s="34" t="s">
        <v>486</v>
      </c>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133"/>
      <c r="BH46" s="34"/>
      <c r="BI46" s="34"/>
      <c r="BJ46" s="34"/>
      <c r="BK46" s="34"/>
      <c r="BL46" s="34"/>
      <c r="BM46" s="34"/>
      <c r="BN46" s="34"/>
      <c r="BO46" s="34"/>
      <c r="BP46" s="42"/>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t="s">
        <v>546</v>
      </c>
      <c r="DB46" s="34"/>
      <c r="DC46" s="635">
        <v>0.31687669558668152</v>
      </c>
      <c r="DD46" s="34"/>
      <c r="DE46" s="34"/>
      <c r="DF46" s="34"/>
      <c r="DG46" s="635">
        <v>0.4669872937434667</v>
      </c>
      <c r="DH46" s="34"/>
      <c r="DI46" s="34"/>
      <c r="DJ46" s="34"/>
      <c r="DK46" s="635">
        <v>0.91680560427483337</v>
      </c>
      <c r="DL46" s="34"/>
      <c r="DM46" s="34"/>
      <c r="DN46" s="34"/>
      <c r="DO46" s="635">
        <v>0.23771667728310342</v>
      </c>
      <c r="DP46" s="34"/>
      <c r="DQ46" s="34"/>
      <c r="DR46" s="34"/>
      <c r="DS46" s="34"/>
      <c r="DT46" s="34"/>
      <c r="DU46" s="34"/>
      <c r="DV46" s="34"/>
      <c r="DW46" s="34"/>
      <c r="DX46" s="34"/>
      <c r="DY46" s="34"/>
      <c r="DZ46" s="34"/>
      <c r="EA46" s="34"/>
      <c r="EB46" s="34"/>
    </row>
    <row r="47" spans="1:136" ht="15.75" thickBot="1">
      <c r="A47" s="44" t="s">
        <v>487</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52"/>
      <c r="AH47" s="52"/>
      <c r="AI47" s="52"/>
      <c r="AJ47" s="52"/>
      <c r="AK47" s="52"/>
      <c r="AL47" s="52"/>
      <c r="AM47" s="52"/>
      <c r="AN47" s="52"/>
      <c r="AO47" s="52"/>
      <c r="AP47" s="52">
        <v>7.0300000000000001E-2</v>
      </c>
      <c r="AQ47" s="52">
        <v>6.2600000000000003E-2</v>
      </c>
      <c r="AR47" s="561">
        <v>5.9499999999999997E-2</v>
      </c>
      <c r="AS47" s="561">
        <v>5.57E-2</v>
      </c>
      <c r="AT47" s="52">
        <v>0.05</v>
      </c>
      <c r="AU47" s="52">
        <v>4.9399999999999999E-2</v>
      </c>
      <c r="AV47" s="561">
        <v>4.9099999999999998E-2</v>
      </c>
      <c r="AW47" s="561">
        <v>4.5499999999999999E-2</v>
      </c>
      <c r="AX47" s="561">
        <v>4.3900000000000002E-2</v>
      </c>
      <c r="AY47" s="561">
        <v>4.6100000000000002E-2</v>
      </c>
      <c r="AZ47" s="561">
        <v>4.8800000000000003E-2</v>
      </c>
      <c r="BA47" s="561">
        <v>5.3199999999999997E-2</v>
      </c>
      <c r="BB47" s="561">
        <v>6.08E-2</v>
      </c>
      <c r="BC47" s="561">
        <v>6.8199999999999997E-2</v>
      </c>
      <c r="BD47" s="561">
        <v>7.0099999999999996E-2</v>
      </c>
      <c r="BE47" s="561">
        <v>7.1999999999999995E-2</v>
      </c>
      <c r="BF47" s="561">
        <v>7.2800000000000004E-2</v>
      </c>
      <c r="BG47" s="561">
        <v>7.2800000000000004E-2</v>
      </c>
      <c r="BH47" s="552">
        <v>7.0000000000000007E-2</v>
      </c>
      <c r="BI47" s="552">
        <v>6.5500000000000003E-2</v>
      </c>
      <c r="BJ47" s="552">
        <v>6.5299999999999997E-2</v>
      </c>
      <c r="BK47" s="552">
        <v>6.6699999999999995E-2</v>
      </c>
      <c r="BL47" s="552">
        <v>6.9099999999999995E-2</v>
      </c>
      <c r="BM47" s="552">
        <v>7.4299999999999991E-2</v>
      </c>
      <c r="BN47" s="552">
        <v>7.9699999999999993E-2</v>
      </c>
      <c r="BO47" s="552">
        <v>8.6500000000000007E-2</v>
      </c>
      <c r="BP47" s="45">
        <v>8.9600000000000013E-2</v>
      </c>
      <c r="BQ47" s="80">
        <v>9.0700000000000003E-2</v>
      </c>
      <c r="BR47" s="80">
        <v>8.760000000000015E-2</v>
      </c>
      <c r="BS47" s="80">
        <v>7.9300000000000148E-2</v>
      </c>
      <c r="BT47" s="80">
        <v>7.1000000000000146E-2</v>
      </c>
      <c r="BU47" s="80">
        <v>6.4300000000000149E-2</v>
      </c>
      <c r="BV47" s="80"/>
      <c r="BW47" s="80"/>
      <c r="BX47" s="80"/>
      <c r="BY47" s="80"/>
      <c r="BZ47" s="80"/>
      <c r="CA47" s="80"/>
      <c r="CB47" s="80"/>
      <c r="CC47" s="80"/>
      <c r="CD47" s="80"/>
      <c r="CE47" s="80"/>
      <c r="CF47" s="80"/>
      <c r="CG47" s="80"/>
      <c r="CH47" s="80"/>
      <c r="CI47" s="80"/>
      <c r="CJ47" s="80"/>
      <c r="CK47" s="80"/>
      <c r="CL47" s="80"/>
      <c r="CM47" s="80"/>
      <c r="CN47" s="80"/>
      <c r="CO47" s="80"/>
      <c r="CP47" s="80"/>
      <c r="CQ47" s="80"/>
      <c r="CR47" s="80"/>
      <c r="CS47" s="80"/>
      <c r="CT47" s="80"/>
      <c r="CU47" s="80"/>
      <c r="CV47" s="121"/>
      <c r="CW47" s="51"/>
      <c r="CX47" s="44"/>
      <c r="CY47" s="44"/>
      <c r="CZ47" s="44"/>
      <c r="DA47" s="44"/>
      <c r="DB47" s="44">
        <v>0.05</v>
      </c>
      <c r="DC47" s="44">
        <v>6.25E-2</v>
      </c>
      <c r="DD47" s="44">
        <v>7.4999999999999997E-2</v>
      </c>
      <c r="DE47" s="44">
        <v>7.1250000000000008E-2</v>
      </c>
      <c r="DF47" s="44">
        <v>6.7500000000000004E-2</v>
      </c>
      <c r="DG47" s="552">
        <v>5.57E-2</v>
      </c>
      <c r="DH47" s="552">
        <v>4.5499999999999999E-2</v>
      </c>
      <c r="DI47" s="552">
        <v>5.3199999999999997E-2</v>
      </c>
      <c r="DJ47" s="552">
        <v>7.1999999999999995E-2</v>
      </c>
      <c r="DK47" s="552">
        <v>6.5500000000000003E-2</v>
      </c>
      <c r="DL47" s="45">
        <v>7.4299999999999991E-2</v>
      </c>
      <c r="DM47" s="51">
        <v>9.0700000000000003E-2</v>
      </c>
      <c r="DN47" s="51">
        <v>6.4300000000000149E-2</v>
      </c>
      <c r="DO47" s="63">
        <v>6.4300000000000149E-2</v>
      </c>
      <c r="DP47" s="63">
        <v>6.4300000000000149E-2</v>
      </c>
      <c r="DQ47" s="63">
        <v>6.4300000000000149E-2</v>
      </c>
      <c r="DR47" s="63">
        <v>6.4300000000000149E-2</v>
      </c>
      <c r="DS47" s="63">
        <v>6.4300000000000149E-2</v>
      </c>
      <c r="DT47" s="63">
        <v>6.4300000000000149E-2</v>
      </c>
      <c r="DU47" s="63">
        <v>6.4300000000000149E-2</v>
      </c>
      <c r="DV47" s="63">
        <v>6.4300000000000149E-2</v>
      </c>
      <c r="DW47" s="63">
        <v>6.4300000000000149E-2</v>
      </c>
      <c r="DX47" s="63">
        <v>6.4300000000000149E-2</v>
      </c>
      <c r="DY47" s="63">
        <v>6.4300000000000149E-2</v>
      </c>
      <c r="DZ47" s="63">
        <v>6.4300000000000149E-2</v>
      </c>
      <c r="EA47" s="63">
        <v>6.4300000000000149E-2</v>
      </c>
      <c r="EB47" s="63">
        <v>6.4300000000000149E-2</v>
      </c>
    </row>
    <row r="48" spans="1:136" ht="15.75" thickBot="1">
      <c r="A48" s="44" t="s">
        <v>488</v>
      </c>
      <c r="B48" s="44"/>
      <c r="C48" s="44">
        <v>8.4041999999999988E-3</v>
      </c>
      <c r="D48" s="44">
        <v>4.1381000000000005E-3</v>
      </c>
      <c r="E48" s="44">
        <v>2.6832000000000002E-3</v>
      </c>
      <c r="F48" s="44">
        <v>2.5693000000000001E-3</v>
      </c>
      <c r="G48" s="44">
        <v>4.3861999999999998E-3</v>
      </c>
      <c r="H48" s="44">
        <v>3.8846999999999996E-3</v>
      </c>
      <c r="I48" s="44">
        <v>2.928E-3</v>
      </c>
      <c r="J48" s="44">
        <v>3.0793999999999999E-3</v>
      </c>
      <c r="K48" s="44">
        <v>2.6218999999999999E-3</v>
      </c>
      <c r="L48" s="44">
        <v>2.9853000000000002E-3</v>
      </c>
      <c r="M48" s="44">
        <v>4.7789E-3</v>
      </c>
      <c r="N48" s="44">
        <v>5.1349999999999998E-3</v>
      </c>
      <c r="O48" s="44">
        <v>4.6632000000000002E-3</v>
      </c>
      <c r="P48" s="44">
        <v>4.2513000000000004E-3</v>
      </c>
      <c r="Q48" s="44">
        <v>3.1756000000000002E-3</v>
      </c>
      <c r="R48" s="44">
        <v>2.9202E-3</v>
      </c>
      <c r="S48" s="44">
        <v>2.7504000000000001E-3</v>
      </c>
      <c r="T48" s="44">
        <v>2.6157999999999997E-3</v>
      </c>
      <c r="U48" s="44">
        <v>2.4128000000000001E-3</v>
      </c>
      <c r="V48" s="44">
        <v>2.3588999999999997E-3</v>
      </c>
      <c r="W48" s="44">
        <v>2.2821999999999999E-3</v>
      </c>
      <c r="X48" s="44">
        <v>2.3427000000000001E-3</v>
      </c>
      <c r="Y48" s="44">
        <v>2.3617999999999998E-3</v>
      </c>
      <c r="Z48" s="44">
        <v>2.6050000000000001E-3</v>
      </c>
      <c r="AA48" s="44">
        <v>2.7951E-3</v>
      </c>
      <c r="AB48" s="44">
        <v>3.1363000000000003E-3</v>
      </c>
      <c r="AC48" s="44">
        <v>4.0715999999999999E-3</v>
      </c>
      <c r="AD48" s="44">
        <v>6.2483999999999994E-3</v>
      </c>
      <c r="AE48" s="44">
        <v>6.4315999999999991E-3</v>
      </c>
      <c r="AF48" s="44">
        <v>7.8678000000000012E-3</v>
      </c>
      <c r="AG48" s="52">
        <v>9.1976000000000002E-3</v>
      </c>
      <c r="AH48" s="52">
        <v>1.07078E-2</v>
      </c>
      <c r="AI48" s="52">
        <v>1.2055500000000002E-2</v>
      </c>
      <c r="AJ48" s="52">
        <v>1.31498E-2</v>
      </c>
      <c r="AK48" s="52">
        <v>1.4591E-2</v>
      </c>
      <c r="AL48" s="52">
        <v>1.9251000000000001E-2</v>
      </c>
      <c r="AM48" s="52">
        <v>2.33826E-2</v>
      </c>
      <c r="AN48" s="52">
        <v>2.3370000000000002E-2</v>
      </c>
      <c r="AO48" s="52">
        <v>2.6225600000000002E-2</v>
      </c>
      <c r="AP48" s="52">
        <v>2.6870599999999998E-2</v>
      </c>
      <c r="AQ48" s="52">
        <v>2.5066600000000001E-2</v>
      </c>
      <c r="AR48" s="561">
        <v>2.19759E-2</v>
      </c>
      <c r="AS48" s="561">
        <v>1.93177E-2</v>
      </c>
      <c r="AT48" s="561">
        <v>1.5291299999999999E-2</v>
      </c>
      <c r="AU48" s="561">
        <v>5.9578000000000001E-3</v>
      </c>
      <c r="AV48" s="561">
        <v>2.5280000000000003E-3</v>
      </c>
      <c r="AW48" s="561">
        <v>2.2472E-3</v>
      </c>
      <c r="AX48" s="561">
        <v>2.0043000000000001E-3</v>
      </c>
      <c r="AY48" s="561">
        <v>1.572E-3</v>
      </c>
      <c r="AZ48" s="561">
        <v>1.572E-3</v>
      </c>
      <c r="BA48" s="561">
        <v>1.6374E-3</v>
      </c>
      <c r="BB48" s="561">
        <v>5.1787000000000005E-3</v>
      </c>
      <c r="BC48" s="561">
        <v>1.5480000000000001E-2</v>
      </c>
      <c r="BD48" s="561">
        <v>0.03</v>
      </c>
      <c r="BE48" s="134">
        <v>4.065714285714285E-2</v>
      </c>
      <c r="BF48" s="561">
        <v>4.4988709677419393E-2</v>
      </c>
      <c r="BG48" s="561">
        <v>4.9677419354838742E-2</v>
      </c>
      <c r="BH48" s="552">
        <v>5.2369841269841316E-2</v>
      </c>
      <c r="BI48" s="552">
        <v>5.3217741935483849E-2</v>
      </c>
      <c r="BJ48" s="552">
        <v>5.3144262295081977E-2</v>
      </c>
      <c r="BK48" s="552">
        <v>5.3185714285714274E-2</v>
      </c>
      <c r="BL48" s="552">
        <v>5.277812499999996E-2</v>
      </c>
      <c r="BM48" s="552">
        <v>4.6787096774193529E-2</v>
      </c>
      <c r="BN48" s="552">
        <v>4.3281967213114773E-2</v>
      </c>
      <c r="BO48" s="552">
        <v>4.3235483870967734E-2</v>
      </c>
      <c r="BP48" s="45">
        <v>4.3270312499999991E-2</v>
      </c>
      <c r="BQ48" s="80">
        <v>3.9938709677419353E-2</v>
      </c>
      <c r="BR48" s="80">
        <v>3.49E-2</v>
      </c>
      <c r="BS48" s="80">
        <v>3.2899999999999999E-2</v>
      </c>
      <c r="BT48" s="80">
        <v>3.2000000000000001E-2</v>
      </c>
      <c r="BU48" s="80">
        <v>3.1600000000000003E-2</v>
      </c>
      <c r="BV48" s="80"/>
      <c r="BW48" s="80"/>
      <c r="BX48" s="80"/>
      <c r="BY48" s="80"/>
      <c r="BZ48" s="80"/>
      <c r="CA48" s="80"/>
      <c r="CB48" s="80"/>
      <c r="CC48" s="80"/>
      <c r="CD48" s="80"/>
      <c r="CE48" s="80"/>
      <c r="CF48" s="80"/>
      <c r="CG48" s="80"/>
      <c r="CH48" s="80"/>
      <c r="CI48" s="80"/>
      <c r="CJ48" s="80"/>
      <c r="CK48" s="80"/>
      <c r="CL48" s="80"/>
      <c r="CM48" s="80"/>
      <c r="CN48" s="80"/>
      <c r="CO48" s="80"/>
      <c r="CP48" s="80"/>
      <c r="CQ48" s="80"/>
      <c r="CR48" s="80"/>
      <c r="CS48" s="80"/>
      <c r="CT48" s="80"/>
      <c r="CU48" s="80"/>
      <c r="CV48" s="51"/>
      <c r="CW48" s="51"/>
      <c r="CX48" s="44"/>
      <c r="CY48" s="44"/>
      <c r="CZ48" s="44">
        <v>4.306275E-3</v>
      </c>
      <c r="DA48" s="44">
        <v>2.6747999999999997E-3</v>
      </c>
      <c r="DB48" s="44">
        <v>2.3363999999999998E-3</v>
      </c>
      <c r="DC48" s="44">
        <v>3.1519999999999999E-3</v>
      </c>
      <c r="DD48" s="44">
        <v>7.4363499999999996E-3</v>
      </c>
      <c r="DE48" s="44">
        <v>1.2626025000000001E-2</v>
      </c>
      <c r="DF48" s="44">
        <v>2.3057299999999999E-2</v>
      </c>
      <c r="DG48" s="552">
        <v>2.3307700000000001E-2</v>
      </c>
      <c r="DH48" s="552">
        <v>6.5060750000000001E-3</v>
      </c>
      <c r="DI48" s="552">
        <v>1.6964249999999999E-3</v>
      </c>
      <c r="DJ48" s="552">
        <v>2.2828960714285713E-2</v>
      </c>
      <c r="DK48" s="552">
        <v>5.3217741935483849E-2</v>
      </c>
      <c r="DL48" s="45">
        <v>4.6787096774193529E-2</v>
      </c>
      <c r="DM48" s="51">
        <v>3.9938709677419353E-2</v>
      </c>
      <c r="DN48" s="51">
        <v>3.1600000000000003E-2</v>
      </c>
      <c r="DO48" s="63">
        <v>3.1600000000000003E-2</v>
      </c>
      <c r="DP48" s="63">
        <v>3.1600000000000003E-2</v>
      </c>
      <c r="DQ48" s="63">
        <v>3.1600000000000003E-2</v>
      </c>
      <c r="DR48" s="63">
        <v>3.1600000000000003E-2</v>
      </c>
      <c r="DS48" s="63">
        <v>3.1600000000000003E-2</v>
      </c>
      <c r="DT48" s="63">
        <v>3.1600000000000003E-2</v>
      </c>
      <c r="DU48" s="63">
        <v>3.1600000000000003E-2</v>
      </c>
      <c r="DV48" s="63">
        <v>3.1600000000000003E-2</v>
      </c>
      <c r="DW48" s="63">
        <v>3.1600000000000003E-2</v>
      </c>
      <c r="DX48" s="63">
        <v>3.1600000000000003E-2</v>
      </c>
      <c r="DY48" s="63">
        <v>3.1600000000000003E-2</v>
      </c>
      <c r="DZ48" s="63">
        <v>3.1600000000000003E-2</v>
      </c>
      <c r="EA48" s="63">
        <v>3.1600000000000003E-2</v>
      </c>
      <c r="EB48" s="63">
        <v>3.1600000000000003E-2</v>
      </c>
    </row>
    <row r="49" spans="1:194">
      <c r="A49" s="44" t="s">
        <v>489</v>
      </c>
      <c r="B49" s="44"/>
      <c r="C49" s="44">
        <v>7.4999999999999997E-3</v>
      </c>
      <c r="D49" s="44">
        <v>5.0000000000000001E-3</v>
      </c>
      <c r="E49" s="44">
        <v>5.0000000000000001E-3</v>
      </c>
      <c r="F49" s="44">
        <v>5.0000000000000001E-3</v>
      </c>
      <c r="G49" s="44">
        <v>0.01</v>
      </c>
      <c r="H49" s="44">
        <v>2.5000000000000001E-2</v>
      </c>
      <c r="I49" s="44">
        <v>3.2500000000000001E-2</v>
      </c>
      <c r="J49" s="44">
        <v>0.04</v>
      </c>
      <c r="K49" s="44">
        <v>5.2499999999999998E-2</v>
      </c>
      <c r="L49" s="44">
        <v>5.2499999999999998E-2</v>
      </c>
      <c r="M49" s="44">
        <v>5.2499999999999998E-2</v>
      </c>
      <c r="N49" s="44">
        <v>0.05</v>
      </c>
      <c r="O49" s="44">
        <v>0.05</v>
      </c>
      <c r="P49" s="44">
        <v>0.05</v>
      </c>
      <c r="Q49" s="44">
        <v>0.05</v>
      </c>
      <c r="R49" s="44">
        <v>0.05</v>
      </c>
      <c r="S49" s="44">
        <v>0.05</v>
      </c>
      <c r="T49" s="44">
        <v>0.05</v>
      </c>
      <c r="U49" s="44">
        <v>4.4999999999999998E-2</v>
      </c>
      <c r="V49" s="44">
        <v>0.04</v>
      </c>
      <c r="W49" s="44">
        <v>0.04</v>
      </c>
      <c r="X49" s="44">
        <v>3.2500000000000001E-2</v>
      </c>
      <c r="Y49" s="44">
        <v>0.03</v>
      </c>
      <c r="Z49" s="44">
        <v>0.03</v>
      </c>
      <c r="AA49" s="44">
        <v>0.03</v>
      </c>
      <c r="AB49" s="44">
        <v>0.03</v>
      </c>
      <c r="AC49" s="44">
        <v>3.5000000000000003E-2</v>
      </c>
      <c r="AD49" s="44">
        <v>3.5000000000000003E-2</v>
      </c>
      <c r="AE49" s="44">
        <v>3.5000000000000003E-2</v>
      </c>
      <c r="AF49" s="44">
        <v>3.5000000000000003E-2</v>
      </c>
      <c r="AG49" s="52">
        <v>3.5000000000000003E-2</v>
      </c>
      <c r="AH49" s="52">
        <v>0.03</v>
      </c>
      <c r="AI49" s="52">
        <v>2.5000000000000001E-2</v>
      </c>
      <c r="AJ49" s="52">
        <v>2.5000000000000001E-2</v>
      </c>
      <c r="AK49" s="52">
        <v>2.5000000000000001E-2</v>
      </c>
      <c r="AL49" s="52">
        <v>2.5000000000000001E-2</v>
      </c>
      <c r="AM49" s="52">
        <v>2.5000000000000001E-2</v>
      </c>
      <c r="AN49" s="52">
        <v>2.5000000000000001E-2</v>
      </c>
      <c r="AO49" s="52">
        <v>2.75E-2</v>
      </c>
      <c r="AP49" s="52">
        <v>0.03</v>
      </c>
      <c r="AQ49" s="52">
        <v>2.5000000000000001E-2</v>
      </c>
      <c r="AR49" s="561">
        <v>0.02</v>
      </c>
      <c r="AS49" s="561">
        <v>1.7500000000000002E-2</v>
      </c>
      <c r="AT49" s="561">
        <v>5.0000000000000001E-3</v>
      </c>
      <c r="AU49" s="561">
        <v>5.0000000000000001E-3</v>
      </c>
      <c r="AV49" s="561">
        <v>5.0000000000000001E-3</v>
      </c>
      <c r="AW49" s="561">
        <v>5.0000000000000001E-3</v>
      </c>
      <c r="AX49" s="561">
        <v>5.0000000000000001E-3</v>
      </c>
      <c r="AY49" s="561">
        <v>5.0000000000000001E-3</v>
      </c>
      <c r="AZ49" s="561">
        <v>1.4999999999999999E-2</v>
      </c>
      <c r="BA49" s="561">
        <v>0.04</v>
      </c>
      <c r="BB49" s="561">
        <v>7.0000000000000007E-2</v>
      </c>
      <c r="BC49" s="561">
        <v>0.09</v>
      </c>
      <c r="BD49" s="561">
        <v>0.1075</v>
      </c>
      <c r="BE49" s="561">
        <v>0.1125</v>
      </c>
      <c r="BF49" s="561">
        <v>0.1125</v>
      </c>
      <c r="BG49" s="561">
        <v>0.1125</v>
      </c>
      <c r="BH49" s="552">
        <v>9.5000000000000001E-2</v>
      </c>
      <c r="BI49" s="552">
        <v>8.2500000000000004E-2</v>
      </c>
      <c r="BJ49" s="552">
        <v>7.2499999999999995E-2</v>
      </c>
      <c r="BK49" s="552">
        <v>5.7500000000000002E-2</v>
      </c>
      <c r="BL49" s="552">
        <v>5.5E-2</v>
      </c>
      <c r="BM49" s="552">
        <v>0.05</v>
      </c>
      <c r="BN49" s="552">
        <v>0.05</v>
      </c>
      <c r="BO49" s="552">
        <v>0.05</v>
      </c>
      <c r="BP49" s="45">
        <v>4.7500000000000001E-2</v>
      </c>
      <c r="BQ49" s="80">
        <v>4.4999999999999998E-2</v>
      </c>
      <c r="BR49" s="80">
        <v>4.3299999999999998E-2</v>
      </c>
      <c r="BS49" s="80">
        <v>4.2699999999999995E-2</v>
      </c>
      <c r="BT49" s="80">
        <v>4.2699999999999995E-2</v>
      </c>
      <c r="BU49" s="80">
        <v>4.2900000000000001E-2</v>
      </c>
      <c r="BV49" s="80"/>
      <c r="BW49" s="80"/>
      <c r="BX49" s="80"/>
      <c r="BY49" s="80"/>
      <c r="BZ49" s="80"/>
      <c r="CA49" s="80"/>
      <c r="CB49" s="80"/>
      <c r="CC49" s="80"/>
      <c r="CD49" s="80"/>
      <c r="CE49" s="80"/>
      <c r="CF49" s="80"/>
      <c r="CG49" s="80"/>
      <c r="CH49" s="80"/>
      <c r="CI49" s="80"/>
      <c r="CJ49" s="80"/>
      <c r="CK49" s="80"/>
      <c r="CL49" s="80"/>
      <c r="CM49" s="80"/>
      <c r="CN49" s="80"/>
      <c r="CO49" s="80"/>
      <c r="CP49" s="80"/>
      <c r="CQ49" s="80"/>
      <c r="CR49" s="80"/>
      <c r="CS49" s="80"/>
      <c r="CT49" s="80"/>
      <c r="CU49" s="80"/>
      <c r="CV49" s="51"/>
      <c r="CW49" s="51"/>
      <c r="CX49" s="44"/>
      <c r="CY49" s="44">
        <v>5.2499999999999998E-2</v>
      </c>
      <c r="CZ49" s="44">
        <v>0.05</v>
      </c>
      <c r="DA49" s="44">
        <v>4.4999999999999998E-2</v>
      </c>
      <c r="DB49" s="44">
        <v>0.03</v>
      </c>
      <c r="DC49" s="44">
        <v>3.5000000000000003E-2</v>
      </c>
      <c r="DD49" s="44">
        <v>3.5000000000000003E-2</v>
      </c>
      <c r="DE49" s="44">
        <v>2.5000000000000001E-2</v>
      </c>
      <c r="DF49" s="44">
        <v>2.75E-2</v>
      </c>
      <c r="DG49" s="552">
        <v>1.7500000000000002E-2</v>
      </c>
      <c r="DH49" s="552">
        <v>5.0000000000000001E-3</v>
      </c>
      <c r="DI49" s="552">
        <v>0.04</v>
      </c>
      <c r="DJ49" s="552">
        <v>0.1125</v>
      </c>
      <c r="DK49" s="552">
        <v>8.2500000000000004E-2</v>
      </c>
      <c r="DL49" s="45">
        <v>0.05</v>
      </c>
      <c r="DM49" s="51">
        <v>4.4999999999999998E-2</v>
      </c>
      <c r="DN49" s="51">
        <v>4.2900000000000001E-2</v>
      </c>
      <c r="DO49" s="64">
        <v>4.2900000000000001E-2</v>
      </c>
      <c r="DP49" s="64">
        <v>4.2900000000000001E-2</v>
      </c>
      <c r="DQ49" s="64">
        <v>4.2900000000000001E-2</v>
      </c>
      <c r="DR49" s="64">
        <v>4.2900000000000001E-2</v>
      </c>
      <c r="DS49" s="64">
        <v>4.2900000000000001E-2</v>
      </c>
      <c r="DT49" s="64">
        <v>4.2900000000000001E-2</v>
      </c>
      <c r="DU49" s="64">
        <v>4.2900000000000001E-2</v>
      </c>
      <c r="DV49" s="64">
        <v>4.2900000000000001E-2</v>
      </c>
      <c r="DW49" s="64">
        <v>4.2900000000000001E-2</v>
      </c>
      <c r="DX49" s="64">
        <v>4.2900000000000001E-2</v>
      </c>
      <c r="DY49" s="64">
        <v>4.2900000000000001E-2</v>
      </c>
      <c r="DZ49" s="64">
        <v>4.2900000000000001E-2</v>
      </c>
      <c r="EA49" s="64">
        <v>4.2900000000000001E-2</v>
      </c>
      <c r="EB49" s="64">
        <v>4.2900000000000001E-2</v>
      </c>
    </row>
    <row r="50" spans="1:194">
      <c r="A50" s="44" t="s">
        <v>490</v>
      </c>
      <c r="B50" s="44">
        <v>5.4688000000000001E-2</v>
      </c>
      <c r="C50" s="44">
        <v>1.3900000000000001E-2</v>
      </c>
      <c r="D50" s="44">
        <v>5.1999999999999998E-3</v>
      </c>
      <c r="E50" s="44">
        <v>5.0000000000000001E-3</v>
      </c>
      <c r="F50" s="44">
        <v>5.0000000000000001E-3</v>
      </c>
      <c r="G50" s="44">
        <v>5.8999999999999999E-3</v>
      </c>
      <c r="H50" s="44">
        <v>1.77E-2</v>
      </c>
      <c r="I50" s="44">
        <v>2.8999999999999998E-2</v>
      </c>
      <c r="J50" s="44">
        <v>3.4599999999999999E-2</v>
      </c>
      <c r="K50" s="44">
        <v>4.7800000000000002E-2</v>
      </c>
      <c r="L50" s="44">
        <v>5.2499999999999998E-2</v>
      </c>
      <c r="M50" s="44">
        <v>5.2499999999999998E-2</v>
      </c>
      <c r="N50" s="44">
        <v>5.0300000000000004E-2</v>
      </c>
      <c r="O50" s="44">
        <v>0.05</v>
      </c>
      <c r="P50" s="44">
        <v>0.05</v>
      </c>
      <c r="Q50" s="44">
        <v>0.05</v>
      </c>
      <c r="R50" s="44">
        <v>0.05</v>
      </c>
      <c r="S50" s="44">
        <v>0.05</v>
      </c>
      <c r="T50" s="44">
        <v>0.05</v>
      </c>
      <c r="U50" s="44">
        <v>4.6799999999999994E-2</v>
      </c>
      <c r="V50" s="44">
        <v>4.3299999999999998E-2</v>
      </c>
      <c r="W50" s="44">
        <v>0.04</v>
      </c>
      <c r="X50" s="44">
        <v>3.61E-2</v>
      </c>
      <c r="Y50" s="44">
        <v>3.04E-2</v>
      </c>
      <c r="Z50" s="44">
        <v>0.03</v>
      </c>
      <c r="AA50" s="44">
        <v>0.03</v>
      </c>
      <c r="AB50" s="44">
        <v>0.03</v>
      </c>
      <c r="AC50" s="44">
        <v>3.2500000000000001E-2</v>
      </c>
      <c r="AD50" s="44">
        <v>3.5000000000000003E-2</v>
      </c>
      <c r="AE50" s="44">
        <v>3.5000000000000003E-2</v>
      </c>
      <c r="AF50" s="44">
        <v>3.5000000000000003E-2</v>
      </c>
      <c r="AG50" s="52">
        <v>3.5000000000000003E-2</v>
      </c>
      <c r="AH50" s="52">
        <v>3.2500000000000001E-2</v>
      </c>
      <c r="AI50" s="52">
        <v>2.6499999999999999E-2</v>
      </c>
      <c r="AJ50" s="52">
        <v>2.5000000000000001E-2</v>
      </c>
      <c r="AK50" s="52">
        <v>2.5000000000000001E-2</v>
      </c>
      <c r="AL50" s="52">
        <v>2.5000000000000001E-2</v>
      </c>
      <c r="AM50" s="52">
        <v>2.5000000000000001E-2</v>
      </c>
      <c r="AN50" s="52">
        <v>2.5000000000000001E-2</v>
      </c>
      <c r="AO50" s="52">
        <v>2.7000000000000003E-2</v>
      </c>
      <c r="AP50" s="52">
        <v>2.92E-2</v>
      </c>
      <c r="AQ50" s="52">
        <v>2.8799999999999999E-2</v>
      </c>
      <c r="AR50" s="561">
        <v>2.35E-2</v>
      </c>
      <c r="AS50" s="561">
        <v>1.8100000000000002E-2</v>
      </c>
      <c r="AT50" s="561">
        <v>1.6E-2</v>
      </c>
      <c r="AU50" s="561">
        <v>5.0000000000000001E-3</v>
      </c>
      <c r="AV50" s="561">
        <v>5.0000000000000001E-3</v>
      </c>
      <c r="AW50" s="561">
        <v>5.0000000000000001E-3</v>
      </c>
      <c r="AX50" s="561">
        <v>5.0000000000000001E-3</v>
      </c>
      <c r="AY50" s="561">
        <v>5.0000000000000001E-3</v>
      </c>
      <c r="AZ50" s="561">
        <v>9.7000000000000003E-3</v>
      </c>
      <c r="BA50" s="561">
        <v>2.87E-2</v>
      </c>
      <c r="BB50" s="561">
        <v>5.1496666666666663E-2</v>
      </c>
      <c r="BC50" s="561">
        <v>7.890329670329671E-2</v>
      </c>
      <c r="BD50" s="561">
        <v>9.8750000000000004E-2</v>
      </c>
      <c r="BE50" s="561">
        <v>0.11</v>
      </c>
      <c r="BF50" s="561">
        <v>0.1125</v>
      </c>
      <c r="BG50" s="561">
        <v>0.1125</v>
      </c>
      <c r="BH50" s="552">
        <v>0.10379166666666667</v>
      </c>
      <c r="BI50" s="552">
        <v>9.0624999999999997E-2</v>
      </c>
      <c r="BJ50" s="552">
        <v>7.5992063492063486E-2</v>
      </c>
      <c r="BK50" s="552">
        <v>6.2909836065573779E-2</v>
      </c>
      <c r="BL50" s="552">
        <v>5.6844262295081965E-2</v>
      </c>
      <c r="BM50" s="552">
        <v>5.2701612903225808E-2</v>
      </c>
      <c r="BN50" s="552">
        <v>0.05</v>
      </c>
      <c r="BO50" s="552">
        <v>0.05</v>
      </c>
      <c r="BP50" s="45">
        <v>4.827868852459017E-2</v>
      </c>
      <c r="BQ50" s="51">
        <v>4.7137096774193553E-2</v>
      </c>
      <c r="BR50" s="51">
        <v>4.4149999999999995E-2</v>
      </c>
      <c r="BS50" s="51">
        <v>4.2999999999999997E-2</v>
      </c>
      <c r="BT50" s="51">
        <v>4.2699999999999995E-2</v>
      </c>
      <c r="BU50" s="51">
        <v>4.2799999999999998E-2</v>
      </c>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44"/>
      <c r="CY50" s="44">
        <v>4.6849999999999996E-2</v>
      </c>
      <c r="CZ50" s="44">
        <v>5.0074999999999995E-2</v>
      </c>
      <c r="DA50" s="44">
        <v>4.9200000000000008E-2</v>
      </c>
      <c r="DB50" s="44">
        <v>3.7450000000000004E-2</v>
      </c>
      <c r="DC50" s="44">
        <v>3.0624999999999999E-2</v>
      </c>
      <c r="DD50" s="44">
        <v>3.5000000000000003E-2</v>
      </c>
      <c r="DE50" s="44">
        <v>2.7249999999999996E-2</v>
      </c>
      <c r="DF50" s="44">
        <v>2.5500000000000002E-2</v>
      </c>
      <c r="DG50" s="552">
        <v>2.4899999999999999E-2</v>
      </c>
      <c r="DH50" s="552">
        <v>7.7500000000000008E-3</v>
      </c>
      <c r="DI50" s="552">
        <v>1.21E-2</v>
      </c>
      <c r="DJ50" s="552">
        <v>8.4787490842490848E-2</v>
      </c>
      <c r="DK50" s="552">
        <v>9.0624999999999997E-2</v>
      </c>
      <c r="DL50" s="45">
        <v>5.2701612903225808E-2</v>
      </c>
      <c r="DM50" s="51">
        <v>4.7137096774193553E-2</v>
      </c>
      <c r="DN50" s="51">
        <v>4.2799999999999998E-2</v>
      </c>
      <c r="DO50" s="65">
        <v>4.2900000000000001E-2</v>
      </c>
      <c r="DP50" s="65">
        <v>4.2900000000000001E-2</v>
      </c>
      <c r="DQ50" s="65">
        <v>4.2900000000000001E-2</v>
      </c>
      <c r="DR50" s="65">
        <v>4.2900000000000001E-2</v>
      </c>
      <c r="DS50" s="65">
        <v>4.2900000000000001E-2</v>
      </c>
      <c r="DT50" s="65">
        <v>4.2900000000000001E-2</v>
      </c>
      <c r="DU50" s="65">
        <v>4.2900000000000001E-2</v>
      </c>
      <c r="DV50" s="65">
        <v>4.2900000000000001E-2</v>
      </c>
      <c r="DW50" s="65">
        <v>4.2900000000000001E-2</v>
      </c>
      <c r="DX50" s="65">
        <v>4.2900000000000001E-2</v>
      </c>
      <c r="DY50" s="65">
        <v>4.2900000000000001E-2</v>
      </c>
      <c r="DZ50" s="65">
        <v>4.2900000000000001E-2</v>
      </c>
      <c r="EA50" s="65">
        <v>4.2900000000000001E-2</v>
      </c>
      <c r="EB50" s="65">
        <v>4.2900000000000001E-2</v>
      </c>
    </row>
    <row r="51" spans="1:194">
      <c r="A51" s="43" t="s">
        <v>491</v>
      </c>
      <c r="B51" s="43"/>
      <c r="C51" s="48">
        <v>5.0664999999999995E-2</v>
      </c>
      <c r="D51" s="48">
        <v>4.9348999999999997E-2</v>
      </c>
      <c r="E51" s="48">
        <v>4.9230999999999997E-2</v>
      </c>
      <c r="F51" s="48">
        <v>4.9075000000000001E-2</v>
      </c>
      <c r="G51" s="48">
        <v>4.9249999999999995E-2</v>
      </c>
      <c r="H51" s="48">
        <v>4.8949999999999994E-2</v>
      </c>
      <c r="I51" s="48">
        <v>4.8750000000000002E-2</v>
      </c>
      <c r="J51" s="48">
        <v>4.8330999999999999E-2</v>
      </c>
      <c r="K51" s="48">
        <v>4.8499999999999995E-2</v>
      </c>
      <c r="L51" s="48">
        <v>4.7842999999999997E-2</v>
      </c>
      <c r="M51" s="48">
        <v>4.8034999999999994E-2</v>
      </c>
      <c r="N51" s="48">
        <v>4.7699999999999992E-2</v>
      </c>
      <c r="O51" s="48">
        <v>4.7699999999999992E-2</v>
      </c>
      <c r="P51" s="48">
        <v>4.8075E-2</v>
      </c>
      <c r="Q51" s="48">
        <v>4.8475000000000004E-2</v>
      </c>
      <c r="R51" s="48">
        <v>4.3512000000000002E-2</v>
      </c>
      <c r="S51" s="48">
        <v>4.3137000000000002E-2</v>
      </c>
      <c r="T51" s="48">
        <v>4.0265000000000002E-2</v>
      </c>
      <c r="U51" s="48">
        <v>3.7949999999999998E-2</v>
      </c>
      <c r="V51" s="48">
        <v>3.8149999999999996E-2</v>
      </c>
      <c r="W51" s="48">
        <v>3.3075E-2</v>
      </c>
      <c r="X51" s="48">
        <v>3.2793000000000003E-2</v>
      </c>
      <c r="Y51" s="48">
        <v>3.3204999999999998E-2</v>
      </c>
      <c r="Z51" s="48">
        <v>3.2989999999999998E-2</v>
      </c>
      <c r="AA51" s="48">
        <v>3.3099999999999997E-2</v>
      </c>
      <c r="AB51" s="48">
        <v>3.3224999999999998E-2</v>
      </c>
      <c r="AC51" s="48">
        <v>3.5549999999999998E-2</v>
      </c>
      <c r="AD51" s="48">
        <v>4.0650000000000006E-2</v>
      </c>
      <c r="AE51" s="48">
        <v>4.1138000000000001E-2</v>
      </c>
      <c r="AF51" s="48">
        <v>5.0724999999999999E-2</v>
      </c>
      <c r="AG51" s="135">
        <v>6.1100000000000002E-2</v>
      </c>
      <c r="AH51" s="135">
        <v>6.8349999999999994E-2</v>
      </c>
      <c r="AI51" s="135">
        <v>7.3650000000000007E-2</v>
      </c>
      <c r="AJ51" s="135">
        <v>7.3724999999999999E-2</v>
      </c>
      <c r="AK51" s="135">
        <v>7.6311000000000004E-2</v>
      </c>
      <c r="AL51" s="135">
        <v>7.8503000000000003E-2</v>
      </c>
      <c r="AM51" s="135">
        <v>8.1004000000000007E-2</v>
      </c>
      <c r="AN51" s="135">
        <v>8.1199999999999994E-2</v>
      </c>
      <c r="AO51" s="135">
        <v>8.5897000000000001E-2</v>
      </c>
      <c r="AP51" s="135">
        <v>8.5150000000000003E-2</v>
      </c>
      <c r="AQ51" s="135">
        <v>8.488699999999999E-2</v>
      </c>
      <c r="AR51" s="562">
        <v>8.0274999999999999E-2</v>
      </c>
      <c r="AS51" s="562">
        <v>7.5549999999999992E-2</v>
      </c>
      <c r="AT51" s="562">
        <v>6.7099999999999993E-2</v>
      </c>
      <c r="AU51" s="562">
        <v>5.2843000000000001E-2</v>
      </c>
      <c r="AV51" s="561">
        <v>4.7500000000000001E-2</v>
      </c>
      <c r="AW51" s="561">
        <v>4.2500000000000003E-2</v>
      </c>
      <c r="AX51" s="561">
        <v>4.2875000000000003E-2</v>
      </c>
      <c r="AY51" s="561">
        <v>4.53E-2</v>
      </c>
      <c r="AZ51" s="561">
        <v>4.7500000000000001E-2</v>
      </c>
      <c r="BA51" s="561">
        <v>5.7099999999999998E-2</v>
      </c>
      <c r="BB51" s="561">
        <v>6.7199999999999996E-2</v>
      </c>
      <c r="BC51" s="561">
        <v>8.0299999999999996E-2</v>
      </c>
      <c r="BD51" s="561">
        <v>9.5000000000000001E-2</v>
      </c>
      <c r="BE51" s="561">
        <v>0.105</v>
      </c>
      <c r="BF51" s="561">
        <v>0.115</v>
      </c>
      <c r="BG51" s="561">
        <v>0.115</v>
      </c>
      <c r="BH51" s="552">
        <v>0.11502800000000001</v>
      </c>
      <c r="BI51" s="552">
        <v>0.11502499999999999</v>
      </c>
      <c r="BJ51" s="552">
        <v>0.112485</v>
      </c>
      <c r="BK51" s="552">
        <v>0.112445</v>
      </c>
      <c r="BL51" s="552">
        <v>0.1074</v>
      </c>
      <c r="BM51" s="552">
        <v>0.10244999999999999</v>
      </c>
      <c r="BN51" s="552">
        <v>9.2704000000000009E-2</v>
      </c>
      <c r="BO51" s="552">
        <v>8.3042999999999992E-2</v>
      </c>
      <c r="BP51" s="45">
        <v>7.8616999999999992E-2</v>
      </c>
      <c r="BQ51" s="80">
        <v>7.3789999999999994E-2</v>
      </c>
      <c r="BR51" s="80">
        <v>6.83E-2</v>
      </c>
      <c r="BS51" s="80">
        <v>6.6100000000000006E-2</v>
      </c>
      <c r="BT51" s="80">
        <v>6.5199999999999994E-2</v>
      </c>
      <c r="BU51" s="80">
        <v>6.480000000000001E-2</v>
      </c>
      <c r="BV51" s="80"/>
      <c r="BW51" s="80"/>
      <c r="BX51" s="80"/>
      <c r="BY51" s="80"/>
      <c r="BZ51" s="80"/>
      <c r="CA51" s="80"/>
      <c r="CB51" s="80"/>
      <c r="CC51" s="80"/>
      <c r="CD51" s="80"/>
      <c r="CE51" s="80"/>
      <c r="CF51" s="80"/>
      <c r="CG51" s="80"/>
      <c r="CH51" s="80"/>
      <c r="CI51" s="80"/>
      <c r="CJ51" s="80"/>
      <c r="CK51" s="80"/>
      <c r="CL51" s="80"/>
      <c r="CM51" s="80"/>
      <c r="CN51" s="80"/>
      <c r="CO51" s="80"/>
      <c r="CP51" s="80"/>
      <c r="CQ51" s="80"/>
      <c r="CR51" s="80"/>
      <c r="CS51" s="80"/>
      <c r="CT51" s="80"/>
      <c r="CU51" s="80"/>
      <c r="CV51" s="41"/>
      <c r="CW51" s="41"/>
      <c r="CX51" s="40"/>
      <c r="CY51" s="44">
        <v>4.8034999999999994E-2</v>
      </c>
      <c r="CZ51" s="44">
        <v>4.8475000000000004E-2</v>
      </c>
      <c r="DA51" s="44">
        <v>3.7949999999999998E-2</v>
      </c>
      <c r="DB51" s="44">
        <v>3.3204999999999998E-2</v>
      </c>
      <c r="DC51" s="44">
        <v>3.5549999999999998E-2</v>
      </c>
      <c r="DD51" s="44">
        <v>6.1100000000000002E-2</v>
      </c>
      <c r="DE51" s="44">
        <v>7.6311000000000004E-2</v>
      </c>
      <c r="DF51" s="44">
        <v>8.5897000000000001E-2</v>
      </c>
      <c r="DG51" s="552">
        <v>7.5549999999999992E-2</v>
      </c>
      <c r="DH51" s="552">
        <v>4.2500000000000003E-2</v>
      </c>
      <c r="DI51" s="552">
        <v>5.7099999999999998E-2</v>
      </c>
      <c r="DJ51" s="552">
        <v>0.105</v>
      </c>
      <c r="DK51" s="552">
        <v>0.11502499999999999</v>
      </c>
      <c r="DL51" s="45">
        <v>0.10244999999999999</v>
      </c>
      <c r="DM51" s="51">
        <v>7.3789999999999994E-2</v>
      </c>
      <c r="DN51" s="51">
        <v>6.480000000000001E-2</v>
      </c>
      <c r="DO51" s="63">
        <v>6.480000000000001E-2</v>
      </c>
      <c r="DP51" s="63">
        <v>6.480000000000001E-2</v>
      </c>
      <c r="DQ51" s="63">
        <v>6.480000000000001E-2</v>
      </c>
      <c r="DR51" s="63">
        <v>6.480000000000001E-2</v>
      </c>
      <c r="DS51" s="63">
        <v>6.480000000000001E-2</v>
      </c>
      <c r="DT51" s="63">
        <v>6.480000000000001E-2</v>
      </c>
      <c r="DU51" s="63">
        <v>6.480000000000001E-2</v>
      </c>
      <c r="DV51" s="63">
        <v>6.480000000000001E-2</v>
      </c>
      <c r="DW51" s="63">
        <v>6.480000000000001E-2</v>
      </c>
      <c r="DX51" s="63">
        <v>6.480000000000001E-2</v>
      </c>
      <c r="DY51" s="63">
        <v>6.480000000000001E-2</v>
      </c>
      <c r="DZ51" s="63">
        <v>6.480000000000001E-2</v>
      </c>
      <c r="EA51" s="63">
        <v>6.480000000000001E-2</v>
      </c>
      <c r="EB51" s="63">
        <v>6.480000000000001E-2</v>
      </c>
    </row>
    <row r="52" spans="1:194">
      <c r="A52" s="81" t="s">
        <v>492</v>
      </c>
      <c r="B52" s="563">
        <v>0.12539999999999998</v>
      </c>
      <c r="C52" s="563">
        <v>0.1026</v>
      </c>
      <c r="D52" s="563">
        <v>8.7799999999999989E-2</v>
      </c>
      <c r="E52" s="563">
        <v>8.6500000000000007E-2</v>
      </c>
      <c r="F52" s="563">
        <v>8.6500000000000007E-2</v>
      </c>
      <c r="G52" s="563">
        <v>9.3599999999999989E-2</v>
      </c>
      <c r="H52" s="563">
        <v>0.10539999999999999</v>
      </c>
      <c r="I52" s="563">
        <v>0.1066</v>
      </c>
      <c r="J52" s="563">
        <v>0.11220000000000001</v>
      </c>
      <c r="K52" s="563">
        <v>0.1192</v>
      </c>
      <c r="L52" s="563">
        <v>0.122</v>
      </c>
      <c r="M52" s="563">
        <v>0.11320000000000001</v>
      </c>
      <c r="N52" s="563">
        <v>0.10300000000000001</v>
      </c>
      <c r="O52" s="563">
        <v>8.8699999999999987E-2</v>
      </c>
      <c r="P52" s="563">
        <v>7.7899999999999997E-2</v>
      </c>
      <c r="Q52" s="563">
        <v>7.1800000000000003E-2</v>
      </c>
      <c r="R52" s="563">
        <v>7.1300000000000002E-2</v>
      </c>
      <c r="S52" s="563">
        <v>7.5199999999999989E-2</v>
      </c>
      <c r="T52" s="563">
        <v>8.5099999999999995E-2</v>
      </c>
      <c r="U52" s="563">
        <v>9.5199999999999993E-2</v>
      </c>
      <c r="V52" s="563">
        <v>0.10400000000000001</v>
      </c>
      <c r="W52" s="563">
        <v>0.10890000000000001</v>
      </c>
      <c r="X52" s="563">
        <v>0.109</v>
      </c>
      <c r="Y52" s="563">
        <v>0.11220000000000001</v>
      </c>
      <c r="Z52" s="563">
        <v>0.12189999999999999</v>
      </c>
      <c r="AA52" s="563">
        <v>0.13140000000000002</v>
      </c>
      <c r="AB52" s="563">
        <v>0.1399</v>
      </c>
      <c r="AC52" s="563">
        <v>0.14150000000000001</v>
      </c>
      <c r="AD52" s="563">
        <v>0.14150000000000001</v>
      </c>
      <c r="AE52" s="563">
        <v>0.14150000000000001</v>
      </c>
      <c r="AF52" s="563">
        <v>0.14150000000000001</v>
      </c>
      <c r="AG52" s="564">
        <v>0.1386</v>
      </c>
      <c r="AH52" s="564">
        <v>0.127</v>
      </c>
      <c r="AI52" s="564">
        <v>0.1094</v>
      </c>
      <c r="AJ52" s="564">
        <v>9.1799999999999993E-2</v>
      </c>
      <c r="AK52" s="564">
        <v>7.4800000000000005E-2</v>
      </c>
      <c r="AL52" s="564">
        <v>6.7400000000000002E-2</v>
      </c>
      <c r="AM52" s="564">
        <v>6.4000000000000001E-2</v>
      </c>
      <c r="AN52" s="564">
        <v>6.4000000000000001E-2</v>
      </c>
      <c r="AO52" s="564">
        <v>6.4000000000000001E-2</v>
      </c>
      <c r="AP52" s="564">
        <v>6.4000000000000001E-2</v>
      </c>
      <c r="AQ52" s="564">
        <v>6.4000000000000001E-2</v>
      </c>
      <c r="AR52" s="564">
        <v>6.0100000000000001E-2</v>
      </c>
      <c r="AS52" s="564">
        <v>4.9699999999999994E-2</v>
      </c>
      <c r="AT52" s="564">
        <v>4.1799999999999997E-2</v>
      </c>
      <c r="AU52" s="564">
        <v>3.0699999999999998E-2</v>
      </c>
      <c r="AV52" s="564">
        <v>0.02</v>
      </c>
      <c r="AW52" s="564">
        <v>1.9E-2</v>
      </c>
      <c r="AX52" s="564">
        <v>2.0199999999999999E-2</v>
      </c>
      <c r="AY52" s="564">
        <v>3.2400000000000005E-2</v>
      </c>
      <c r="AZ52" s="564">
        <v>4.8600000000000004E-2</v>
      </c>
      <c r="BA52" s="564">
        <v>7.6299999999999993E-2</v>
      </c>
      <c r="BB52" s="564">
        <v>0.10254666666666667</v>
      </c>
      <c r="BC52" s="564">
        <v>0.13</v>
      </c>
      <c r="BD52" s="564">
        <v>0.13750000000000001</v>
      </c>
      <c r="BE52" s="564">
        <v>0.13650000000000001</v>
      </c>
      <c r="BF52" s="564">
        <v>0.13649999999999987</v>
      </c>
      <c r="BG52" s="564">
        <v>0.13649999999999987</v>
      </c>
      <c r="BH52" s="563">
        <v>0.13274999999999987</v>
      </c>
      <c r="BI52" s="563">
        <v>0.12240163934426215</v>
      </c>
      <c r="BJ52" s="563">
        <v>0.11281147540983592</v>
      </c>
      <c r="BK52" s="563">
        <v>0.10507142857142845</v>
      </c>
      <c r="BL52" s="563">
        <v>0.10430303030303018</v>
      </c>
      <c r="BM52" s="563">
        <v>0.1114206349206348</v>
      </c>
      <c r="BN52" s="563">
        <v>0.12953278688524578</v>
      </c>
      <c r="BO52" s="563">
        <v>0.14481967213114741</v>
      </c>
      <c r="BP52" s="97">
        <v>0.14899999999999985</v>
      </c>
      <c r="BQ52" s="80">
        <v>0.14899999999999985</v>
      </c>
      <c r="BR52" s="80">
        <v>0.1459</v>
      </c>
      <c r="BS52" s="80">
        <v>0.1376</v>
      </c>
      <c r="BT52" s="80">
        <v>0.1293</v>
      </c>
      <c r="BU52" s="80">
        <v>0.1226</v>
      </c>
      <c r="BV52" s="80"/>
      <c r="BW52" s="80"/>
      <c r="BX52" s="80"/>
      <c r="BY52" s="80"/>
      <c r="BZ52" s="80"/>
      <c r="CA52" s="80"/>
      <c r="CB52" s="80"/>
      <c r="CC52" s="80"/>
      <c r="CD52" s="80"/>
      <c r="CE52" s="80"/>
      <c r="CF52" s="80"/>
      <c r="CG52" s="80"/>
      <c r="CH52" s="80"/>
      <c r="CI52" s="80"/>
      <c r="CJ52" s="80"/>
      <c r="CK52" s="80"/>
      <c r="CL52" s="80"/>
      <c r="CM52" s="80"/>
      <c r="CN52" s="80"/>
      <c r="CO52" s="80"/>
      <c r="CP52" s="80"/>
      <c r="CQ52" s="80"/>
      <c r="CR52" s="80"/>
      <c r="CS52" s="80"/>
      <c r="CT52" s="80"/>
      <c r="CU52" s="80"/>
      <c r="CV52" s="565"/>
      <c r="CW52" s="566"/>
      <c r="CX52" s="567"/>
      <c r="CY52" s="44">
        <v>0.11665</v>
      </c>
      <c r="CZ52" s="44">
        <v>8.5349999999999981E-2</v>
      </c>
      <c r="DA52" s="44">
        <v>8.1699999999999995E-2</v>
      </c>
      <c r="DB52" s="44">
        <v>0.10852500000000001</v>
      </c>
      <c r="DC52" s="44">
        <v>0.13367499999999999</v>
      </c>
      <c r="DD52" s="44">
        <v>0.14077500000000001</v>
      </c>
      <c r="DE52" s="44">
        <v>0.10075000000000001</v>
      </c>
      <c r="DF52" s="44">
        <v>6.4850000000000005E-2</v>
      </c>
      <c r="DG52" s="552">
        <v>4.9699999999999994E-2</v>
      </c>
      <c r="DH52" s="552">
        <v>1.9E-2</v>
      </c>
      <c r="DI52" s="552">
        <v>7.6299999999999993E-2</v>
      </c>
      <c r="DJ52" s="552">
        <v>0.13650000000000001</v>
      </c>
      <c r="DK52" s="552">
        <v>0.12240163934426215</v>
      </c>
      <c r="DL52" s="45">
        <v>0.1114206349206348</v>
      </c>
      <c r="DM52" s="51">
        <v>0.14899999999999985</v>
      </c>
      <c r="DN52" s="51">
        <v>0.1226</v>
      </c>
      <c r="DO52" s="568">
        <v>0.1226</v>
      </c>
      <c r="DP52" s="568">
        <v>0.1226</v>
      </c>
      <c r="DQ52" s="568">
        <v>0.1226</v>
      </c>
      <c r="DR52" s="568">
        <v>0.1226</v>
      </c>
      <c r="DS52" s="568">
        <v>0.1226</v>
      </c>
      <c r="DT52" s="568">
        <v>0.1226</v>
      </c>
      <c r="DU52" s="568">
        <v>0.1226</v>
      </c>
      <c r="DV52" s="568">
        <v>0.1226</v>
      </c>
      <c r="DW52" s="362">
        <v>0.1226</v>
      </c>
      <c r="DX52" s="362">
        <v>0.1226</v>
      </c>
      <c r="DY52" s="362">
        <v>0.1226</v>
      </c>
      <c r="DZ52" s="362">
        <v>0.1226</v>
      </c>
      <c r="EA52" s="362">
        <v>0.1226</v>
      </c>
      <c r="EB52" s="362">
        <v>0.1226</v>
      </c>
    </row>
    <row r="53" spans="1:194">
      <c r="A53" s="34" t="s">
        <v>493</v>
      </c>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117"/>
      <c r="BD53" s="117"/>
      <c r="BE53" s="34"/>
      <c r="BF53" s="34"/>
      <c r="BG53" s="122"/>
      <c r="BH53" s="122"/>
      <c r="BI53" s="122"/>
      <c r="BJ53" s="122"/>
      <c r="BK53" s="122"/>
      <c r="BL53" s="122"/>
      <c r="BM53" s="122"/>
      <c r="BN53" s="122"/>
      <c r="BO53" s="122"/>
      <c r="BP53" s="622"/>
      <c r="BQ53" s="122"/>
      <c r="BR53" s="122"/>
      <c r="BS53" s="122"/>
      <c r="BT53" s="122"/>
      <c r="BU53" s="122"/>
      <c r="BV53" s="122"/>
      <c r="BW53" s="122"/>
      <c r="BX53" s="122"/>
      <c r="BY53" s="122"/>
      <c r="BZ53" s="122"/>
      <c r="CA53" s="122"/>
      <c r="CB53" s="122"/>
      <c r="CC53" s="122"/>
      <c r="CD53" s="122"/>
      <c r="CE53" s="122"/>
      <c r="CF53" s="122"/>
      <c r="CG53" s="122"/>
      <c r="CH53" s="122"/>
      <c r="CI53" s="122"/>
      <c r="CJ53" s="122"/>
      <c r="CK53" s="122"/>
      <c r="CL53" s="122"/>
      <c r="CM53" s="122"/>
      <c r="CN53" s="122"/>
      <c r="CO53" s="122"/>
      <c r="CP53" s="122"/>
      <c r="CQ53" s="122"/>
      <c r="CR53" s="122"/>
      <c r="CS53" s="122"/>
      <c r="CT53" s="122"/>
      <c r="CU53" s="122"/>
      <c r="CV53" s="34"/>
      <c r="CW53" s="34"/>
      <c r="CX53" s="34"/>
      <c r="CY53" s="34"/>
      <c r="CZ53" s="34"/>
      <c r="DA53" s="34"/>
      <c r="DB53" s="34"/>
      <c r="DC53" s="34"/>
      <c r="DD53" s="34"/>
      <c r="DE53" s="34"/>
      <c r="DF53" s="34"/>
      <c r="DG53" s="34"/>
      <c r="DH53" s="34"/>
      <c r="DI53" s="34"/>
      <c r="DJ53" s="34"/>
      <c r="DK53" s="34"/>
      <c r="DL53" s="42"/>
      <c r="DM53" s="118"/>
      <c r="DN53" s="118"/>
      <c r="DO53" s="34"/>
      <c r="DP53" s="34"/>
      <c r="DQ53" s="34"/>
      <c r="DR53" s="34"/>
      <c r="DS53" s="34"/>
      <c r="DT53" s="34"/>
      <c r="DU53" s="34"/>
      <c r="DV53" s="34"/>
      <c r="DW53" s="34"/>
      <c r="DX53" s="34"/>
      <c r="DY53" s="34"/>
      <c r="DZ53" s="34"/>
      <c r="EA53" s="34"/>
      <c r="EB53" s="34"/>
    </row>
    <row r="54" spans="1:194" s="553" customFormat="1" ht="11.25">
      <c r="A54" s="43" t="s">
        <v>459</v>
      </c>
      <c r="B54" s="66"/>
      <c r="C54" s="66">
        <v>214.79</v>
      </c>
      <c r="D54" s="66">
        <v>215.86099999999999</v>
      </c>
      <c r="E54" s="66">
        <v>217.34700000000001</v>
      </c>
      <c r="F54" s="66">
        <v>217.35300000000001</v>
      </c>
      <c r="G54" s="66">
        <v>217.19900000000001</v>
      </c>
      <c r="H54" s="66">
        <v>218.27500000000001</v>
      </c>
      <c r="I54" s="66">
        <v>220.47200000000001</v>
      </c>
      <c r="J54" s="66">
        <v>223.04599999999999</v>
      </c>
      <c r="K54" s="66">
        <v>224.80600000000001</v>
      </c>
      <c r="L54" s="66">
        <v>226.59700000000001</v>
      </c>
      <c r="M54" s="66">
        <v>227.22300000000001</v>
      </c>
      <c r="N54" s="66">
        <v>228.80699999999999</v>
      </c>
      <c r="O54" s="66">
        <v>228.524</v>
      </c>
      <c r="P54" s="66">
        <v>231.01499999999999</v>
      </c>
      <c r="Q54" s="66">
        <v>231.221</v>
      </c>
      <c r="R54" s="66">
        <v>232.28200000000001</v>
      </c>
      <c r="S54" s="66">
        <v>232.44499999999999</v>
      </c>
      <c r="T54" s="66">
        <v>233.54400000000001</v>
      </c>
      <c r="U54" s="66">
        <v>234.71899999999999</v>
      </c>
      <c r="V54" s="66">
        <v>236.02799999999999</v>
      </c>
      <c r="W54" s="66">
        <v>237.23099999999999</v>
      </c>
      <c r="X54" s="66">
        <v>237.477</v>
      </c>
      <c r="Y54" s="66">
        <v>236.25200000000001</v>
      </c>
      <c r="Z54" s="66">
        <v>235.976</v>
      </c>
      <c r="AA54" s="66">
        <v>237.65700000000001</v>
      </c>
      <c r="AB54" s="66">
        <v>237.49799999999999</v>
      </c>
      <c r="AC54" s="66">
        <v>237.761</v>
      </c>
      <c r="AD54" s="66">
        <v>238.08</v>
      </c>
      <c r="AE54" s="66">
        <v>240.22200000000001</v>
      </c>
      <c r="AF54" s="66">
        <v>241.17599999999999</v>
      </c>
      <c r="AG54" s="66">
        <v>242.637</v>
      </c>
      <c r="AH54" s="66">
        <v>243.892</v>
      </c>
      <c r="AI54" s="66">
        <v>244.16300000000001</v>
      </c>
      <c r="AJ54" s="66">
        <v>246.435</v>
      </c>
      <c r="AK54" s="66">
        <v>247.80500000000001</v>
      </c>
      <c r="AL54" s="66">
        <v>249.577</v>
      </c>
      <c r="AM54" s="66">
        <v>251.018</v>
      </c>
      <c r="AN54" s="66">
        <v>252.18199999999999</v>
      </c>
      <c r="AO54" s="66">
        <v>252.767</v>
      </c>
      <c r="AP54" s="66">
        <v>254.27699999999999</v>
      </c>
      <c r="AQ54" s="66">
        <v>255.21299999999999</v>
      </c>
      <c r="AR54" s="569">
        <v>256.43</v>
      </c>
      <c r="AS54" s="569">
        <v>258.63</v>
      </c>
      <c r="AT54" s="569">
        <v>258.07600000000002</v>
      </c>
      <c r="AU54" s="569">
        <v>257.04199999999997</v>
      </c>
      <c r="AV54" s="569">
        <v>259.99700000000001</v>
      </c>
      <c r="AW54" s="569">
        <v>262.04500000000002</v>
      </c>
      <c r="AX54" s="569">
        <v>264.84699999999998</v>
      </c>
      <c r="AY54" s="569">
        <v>270.70999999999998</v>
      </c>
      <c r="AZ54" s="569">
        <v>273.94200000000001</v>
      </c>
      <c r="BA54" s="569">
        <v>280.80599999999998</v>
      </c>
      <c r="BB54" s="569">
        <v>287.46699999999998</v>
      </c>
      <c r="BC54" s="569">
        <v>295.072</v>
      </c>
      <c r="BD54" s="569">
        <v>296.42099999999999</v>
      </c>
      <c r="BE54" s="569">
        <v>298.80799999999999</v>
      </c>
      <c r="BF54" s="569">
        <v>301.64299999999997</v>
      </c>
      <c r="BG54" s="569">
        <v>304.09899999999999</v>
      </c>
      <c r="BH54" s="569">
        <v>307.37400000000002</v>
      </c>
      <c r="BI54" s="569">
        <v>308.73500000000001</v>
      </c>
      <c r="BJ54" s="569">
        <v>312.10700000000003</v>
      </c>
      <c r="BK54" s="569">
        <v>313.13099999999997</v>
      </c>
      <c r="BL54" s="569">
        <v>314.851</v>
      </c>
      <c r="BM54" s="569">
        <v>317.60300000000001</v>
      </c>
      <c r="BN54" s="569">
        <v>319.61500000000001</v>
      </c>
      <c r="BO54" s="569">
        <v>321.5</v>
      </c>
      <c r="BP54" s="67">
        <v>324.36799999999999</v>
      </c>
      <c r="BQ54" s="68">
        <v>325.03100000000001</v>
      </c>
      <c r="BR54" s="68">
        <v>328.66010449999993</v>
      </c>
      <c r="BS54" s="68">
        <v>331.11284999999992</v>
      </c>
      <c r="BT54" s="68">
        <v>333.45030399999996</v>
      </c>
      <c r="BU54" s="68">
        <v>333.74183079999995</v>
      </c>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6"/>
      <c r="CY54" s="56">
        <v>227.22300000000001</v>
      </c>
      <c r="CZ54" s="56">
        <v>231.221</v>
      </c>
      <c r="DA54" s="56">
        <v>234.71899999999999</v>
      </c>
      <c r="DB54" s="56">
        <v>236.25200000000001</v>
      </c>
      <c r="DC54" s="56">
        <v>237.761</v>
      </c>
      <c r="DD54" s="56">
        <v>242.637</v>
      </c>
      <c r="DE54" s="56">
        <v>247.80500000000001</v>
      </c>
      <c r="DF54" s="543">
        <v>252.767</v>
      </c>
      <c r="DG54" s="543">
        <v>258.63</v>
      </c>
      <c r="DH54" s="543">
        <v>262.04500000000002</v>
      </c>
      <c r="DI54" s="543">
        <v>280.80599999999998</v>
      </c>
      <c r="DJ54" s="543">
        <v>298.80799999999999</v>
      </c>
      <c r="DK54" s="543">
        <v>308.73500000000001</v>
      </c>
      <c r="DL54" s="57">
        <v>317.60300000000001</v>
      </c>
      <c r="DM54" s="68">
        <v>325.03100000000001</v>
      </c>
      <c r="DN54" s="68">
        <v>333.74183079999995</v>
      </c>
      <c r="DO54" s="68">
        <v>340.41666741599994</v>
      </c>
      <c r="DP54" s="68">
        <v>347.22500076431993</v>
      </c>
      <c r="DQ54" s="68">
        <v>354.16950077960632</v>
      </c>
      <c r="DR54" s="68">
        <v>361.25289079519848</v>
      </c>
      <c r="DS54" s="68">
        <v>368.47794861110248</v>
      </c>
      <c r="DT54" s="68">
        <v>375.84750758332456</v>
      </c>
      <c r="DU54" s="68">
        <v>383.36445773499105</v>
      </c>
      <c r="DV54" s="68">
        <v>391.03174688969085</v>
      </c>
      <c r="DW54" s="68">
        <v>398.85238182748469</v>
      </c>
      <c r="DX54" s="68">
        <v>406.82942946403438</v>
      </c>
      <c r="DY54" s="68">
        <v>414.96601805331505</v>
      </c>
      <c r="DZ54" s="68">
        <v>423.26533841438135</v>
      </c>
      <c r="EA54" s="68">
        <v>431.73064518266898</v>
      </c>
      <c r="EB54" s="68">
        <v>440.36525808632234</v>
      </c>
    </row>
    <row r="55" spans="1:194" s="553" customFormat="1" ht="11.25">
      <c r="A55" s="43" t="s">
        <v>460</v>
      </c>
      <c r="B55" s="66"/>
      <c r="C55" s="66">
        <v>0</v>
      </c>
      <c r="D55" s="66">
        <v>0</v>
      </c>
      <c r="E55" s="66">
        <v>57.31</v>
      </c>
      <c r="F55" s="66">
        <v>57.82</v>
      </c>
      <c r="G55" s="66">
        <v>58.3</v>
      </c>
      <c r="H55" s="66">
        <v>58.85</v>
      </c>
      <c r="I55" s="66">
        <v>59.02</v>
      </c>
      <c r="J55" s="66">
        <v>59.77</v>
      </c>
      <c r="K55" s="66">
        <v>60.3</v>
      </c>
      <c r="L55" s="66">
        <v>60.78</v>
      </c>
      <c r="M55" s="66">
        <v>61.64</v>
      </c>
      <c r="N55" s="66">
        <v>62.03</v>
      </c>
      <c r="O55" s="66">
        <v>61.9</v>
      </c>
      <c r="P55" s="66">
        <v>62.5</v>
      </c>
      <c r="Q55" s="66">
        <v>62.55</v>
      </c>
      <c r="R55" s="66">
        <v>62.98</v>
      </c>
      <c r="S55" s="66">
        <v>63.07</v>
      </c>
      <c r="T55" s="66">
        <v>63.73</v>
      </c>
      <c r="U55" s="66">
        <v>64.44</v>
      </c>
      <c r="V55" s="66">
        <v>65.41</v>
      </c>
      <c r="W55" s="66">
        <v>66.08</v>
      </c>
      <c r="X55" s="66">
        <v>67</v>
      </c>
      <c r="Y55" s="66">
        <v>67.430000000000007</v>
      </c>
      <c r="Z55" s="66">
        <v>68.150000000000006</v>
      </c>
      <c r="AA55" s="66">
        <v>69</v>
      </c>
      <c r="AB55" s="66">
        <v>70.11</v>
      </c>
      <c r="AC55" s="66">
        <v>70.39</v>
      </c>
      <c r="AD55" s="66">
        <v>71.180000000000007</v>
      </c>
      <c r="AE55" s="66">
        <v>71.900000000000006</v>
      </c>
      <c r="AF55" s="66">
        <v>72.28</v>
      </c>
      <c r="AG55" s="66">
        <v>72.290000000000006</v>
      </c>
      <c r="AH55" s="66">
        <v>73.14</v>
      </c>
      <c r="AI55" s="66">
        <v>73.12</v>
      </c>
      <c r="AJ55" s="66">
        <v>73.33</v>
      </c>
      <c r="AK55" s="66">
        <v>73.930000000000007</v>
      </c>
      <c r="AL55" s="66">
        <v>74.459999999999994</v>
      </c>
      <c r="AM55" s="66">
        <v>74.98</v>
      </c>
      <c r="AN55" s="66">
        <v>75.63</v>
      </c>
      <c r="AO55" s="66">
        <v>75.83</v>
      </c>
      <c r="AP55" s="66">
        <v>76.31</v>
      </c>
      <c r="AQ55" s="66">
        <v>77.010000000000005</v>
      </c>
      <c r="AR55" s="569">
        <v>77.33</v>
      </c>
      <c r="AS55" s="569">
        <v>78.099999999999994</v>
      </c>
      <c r="AT55" s="569">
        <v>79.16</v>
      </c>
      <c r="AU55" s="569">
        <v>79.03</v>
      </c>
      <c r="AV55" s="569">
        <v>79.72</v>
      </c>
      <c r="AW55" s="569">
        <v>80.430000000000007</v>
      </c>
      <c r="AX55" s="569">
        <v>81.45</v>
      </c>
      <c r="AY55" s="569">
        <v>82.04</v>
      </c>
      <c r="AZ55" s="569">
        <v>83.98</v>
      </c>
      <c r="BA55" s="569">
        <v>86.2</v>
      </c>
      <c r="BB55" s="569">
        <v>89.11</v>
      </c>
      <c r="BC55" s="569">
        <v>92.29</v>
      </c>
      <c r="BD55" s="569">
        <v>95.51</v>
      </c>
      <c r="BE55" s="569">
        <v>97.21</v>
      </c>
      <c r="BF55" s="569">
        <v>99</v>
      </c>
      <c r="BG55" s="569">
        <v>99.26</v>
      </c>
      <c r="BH55" s="569">
        <v>100.39</v>
      </c>
      <c r="BI55" s="569">
        <v>101.04</v>
      </c>
      <c r="BJ55" s="569">
        <v>102.7</v>
      </c>
      <c r="BK55" s="569">
        <v>103.42</v>
      </c>
      <c r="BL55" s="569">
        <v>104.54</v>
      </c>
      <c r="BM55" s="569">
        <v>105.62</v>
      </c>
      <c r="BN55" s="569">
        <v>107.7</v>
      </c>
      <c r="BO55" s="569">
        <v>107.68</v>
      </c>
      <c r="BP55" s="67">
        <v>109.14</v>
      </c>
      <c r="BQ55" s="68">
        <v>109.26</v>
      </c>
      <c r="BR55" s="68">
        <v>110.92023000000003</v>
      </c>
      <c r="BS55" s="68">
        <v>110.953472</v>
      </c>
      <c r="BT55" s="68">
        <v>112.294146</v>
      </c>
      <c r="BU55" s="68">
        <v>112.53779999999999</v>
      </c>
      <c r="BV55" s="68"/>
      <c r="BW55" s="68"/>
      <c r="BX55" s="68"/>
      <c r="BY55" s="68"/>
      <c r="BZ55" s="68"/>
      <c r="CA55" s="68"/>
      <c r="CB55" s="68"/>
      <c r="CC55" s="68"/>
      <c r="CD55" s="68"/>
      <c r="CE55" s="68"/>
      <c r="CF55" s="68"/>
      <c r="CG55" s="68"/>
      <c r="CH55" s="68"/>
      <c r="CI55" s="68"/>
      <c r="CJ55" s="68"/>
      <c r="CK55" s="68"/>
      <c r="CL55" s="68"/>
      <c r="CM55" s="68"/>
      <c r="CN55" s="68"/>
      <c r="CO55" s="68"/>
      <c r="CP55" s="68"/>
      <c r="CQ55" s="68"/>
      <c r="CR55" s="68"/>
      <c r="CS55" s="68"/>
      <c r="CT55" s="68"/>
      <c r="CU55" s="68"/>
      <c r="CV55" s="68"/>
      <c r="CW55" s="68"/>
      <c r="CX55" s="66"/>
      <c r="CY55" s="56">
        <v>61.64</v>
      </c>
      <c r="CZ55" s="56">
        <v>62.55</v>
      </c>
      <c r="DA55" s="56">
        <v>64.44</v>
      </c>
      <c r="DB55" s="56">
        <v>67.430000000000007</v>
      </c>
      <c r="DC55" s="56">
        <v>70.39</v>
      </c>
      <c r="DD55" s="56">
        <v>72.290000000000006</v>
      </c>
      <c r="DE55" s="56">
        <v>73.930000000000007</v>
      </c>
      <c r="DF55" s="543">
        <v>75.83</v>
      </c>
      <c r="DG55" s="543">
        <v>78.099999999999994</v>
      </c>
      <c r="DH55" s="543">
        <v>80.430000000000007</v>
      </c>
      <c r="DI55" s="543">
        <v>86.2</v>
      </c>
      <c r="DJ55" s="543">
        <v>97.21</v>
      </c>
      <c r="DK55" s="543">
        <v>101.04</v>
      </c>
      <c r="DL55" s="57">
        <v>105.62</v>
      </c>
      <c r="DM55" s="68">
        <v>109.26</v>
      </c>
      <c r="DN55" s="68">
        <v>112.53779999999999</v>
      </c>
      <c r="DO55" s="68">
        <v>115.913934</v>
      </c>
      <c r="DP55" s="68">
        <v>119.39135202</v>
      </c>
      <c r="DQ55" s="68">
        <v>122.9730925806</v>
      </c>
      <c r="DR55" s="68">
        <v>126.662285358018</v>
      </c>
      <c r="DS55" s="68">
        <v>130.46215391875853</v>
      </c>
      <c r="DT55" s="68">
        <v>134.37601853632128</v>
      </c>
      <c r="DU55" s="68">
        <v>138.40729909241094</v>
      </c>
      <c r="DV55" s="68">
        <v>142.55951806518328</v>
      </c>
      <c r="DW55" s="68">
        <v>146.83630360713877</v>
      </c>
      <c r="DX55" s="68">
        <v>151.24139271535293</v>
      </c>
      <c r="DY55" s="68">
        <v>155.77863449681351</v>
      </c>
      <c r="DZ55" s="68">
        <v>160.45199353171793</v>
      </c>
      <c r="EA55" s="68">
        <v>165.26555333766947</v>
      </c>
      <c r="EB55" s="68">
        <v>170.22351993779955</v>
      </c>
    </row>
    <row r="56" spans="1:194" s="553" customFormat="1" ht="11.25">
      <c r="A56" s="43" t="s">
        <v>461</v>
      </c>
      <c r="B56" s="66"/>
      <c r="C56" s="66">
        <v>69.36</v>
      </c>
      <c r="D56" s="66">
        <v>69.28</v>
      </c>
      <c r="E56" s="66">
        <v>69.510000000000005</v>
      </c>
      <c r="F56" s="66">
        <v>70.13</v>
      </c>
      <c r="G56" s="66">
        <v>70.5</v>
      </c>
      <c r="H56" s="66">
        <v>70.92</v>
      </c>
      <c r="I56" s="66">
        <v>70.95</v>
      </c>
      <c r="J56" s="66">
        <v>72</v>
      </c>
      <c r="K56" s="66">
        <v>72.55</v>
      </c>
      <c r="L56" s="66">
        <v>73.56</v>
      </c>
      <c r="M56" s="66">
        <v>74.31</v>
      </c>
      <c r="N56" s="66">
        <v>75.05</v>
      </c>
      <c r="O56" s="66">
        <v>75.45</v>
      </c>
      <c r="P56" s="66">
        <v>76.31</v>
      </c>
      <c r="Q56" s="66">
        <v>76.28</v>
      </c>
      <c r="R56" s="66">
        <v>76.989999999999995</v>
      </c>
      <c r="S56" s="66">
        <v>77.540000000000006</v>
      </c>
      <c r="T56" s="66">
        <v>78.47</v>
      </c>
      <c r="U56" s="66">
        <v>78.459999999999994</v>
      </c>
      <c r="V56" s="66">
        <v>79.599999999999994</v>
      </c>
      <c r="W56" s="66">
        <v>80.22</v>
      </c>
      <c r="X56" s="66">
        <v>80.62</v>
      </c>
      <c r="Y56" s="66">
        <v>80.989999999999995</v>
      </c>
      <c r="Z56" s="66">
        <v>82</v>
      </c>
      <c r="AA56" s="66">
        <v>83.06</v>
      </c>
      <c r="AB56" s="66">
        <v>83.77</v>
      </c>
      <c r="AC56" s="66">
        <v>84.56</v>
      </c>
      <c r="AD56" s="66">
        <v>85.53</v>
      </c>
      <c r="AE56" s="66">
        <v>85.84</v>
      </c>
      <c r="AF56" s="66">
        <v>86.39</v>
      </c>
      <c r="AG56" s="66">
        <v>87.29</v>
      </c>
      <c r="AH56" s="66">
        <v>88.93</v>
      </c>
      <c r="AI56" s="66">
        <v>88.18</v>
      </c>
      <c r="AJ56" s="66">
        <v>88.94</v>
      </c>
      <c r="AK56" s="66">
        <v>88.48</v>
      </c>
      <c r="AL56" s="66">
        <v>89.25</v>
      </c>
      <c r="AM56" s="66">
        <v>89.44</v>
      </c>
      <c r="AN56" s="66">
        <v>90.07</v>
      </c>
      <c r="AO56" s="66">
        <v>90.42</v>
      </c>
      <c r="AP56" s="66">
        <v>91.25</v>
      </c>
      <c r="AQ56" s="66">
        <v>91.49</v>
      </c>
      <c r="AR56" s="569">
        <v>91.74</v>
      </c>
      <c r="AS56" s="569">
        <v>92.14</v>
      </c>
      <c r="AT56" s="569">
        <v>92.92</v>
      </c>
      <c r="AU56" s="569">
        <v>92.96</v>
      </c>
      <c r="AV56" s="569">
        <v>93.41</v>
      </c>
      <c r="AW56" s="569">
        <v>93.96</v>
      </c>
      <c r="AX56" s="569">
        <v>95.33</v>
      </c>
      <c r="AY56" s="569">
        <v>95.98</v>
      </c>
      <c r="AZ56" s="569">
        <v>98.3</v>
      </c>
      <c r="BA56" s="569">
        <v>100</v>
      </c>
      <c r="BB56" s="569">
        <v>101.84</v>
      </c>
      <c r="BC56" s="569">
        <v>104.44</v>
      </c>
      <c r="BD56" s="569">
        <v>106.68</v>
      </c>
      <c r="BE56" s="569">
        <v>108.46</v>
      </c>
      <c r="BF56" s="569">
        <v>110.39</v>
      </c>
      <c r="BG56" s="569">
        <v>111.19</v>
      </c>
      <c r="BH56" s="569">
        <v>112.06</v>
      </c>
      <c r="BI56" s="569">
        <v>111.97</v>
      </c>
      <c r="BJ56" s="569">
        <v>113.75</v>
      </c>
      <c r="BK56" s="569">
        <v>113.73</v>
      </c>
      <c r="BL56" s="569">
        <v>114.05</v>
      </c>
      <c r="BM56" s="569">
        <v>114.17</v>
      </c>
      <c r="BN56" s="569">
        <v>115.21</v>
      </c>
      <c r="BO56" s="569">
        <v>115.66</v>
      </c>
      <c r="BP56" s="67">
        <v>115.6</v>
      </c>
      <c r="BQ56" s="68">
        <v>115.61</v>
      </c>
      <c r="BR56" s="68">
        <v>117.16857</v>
      </c>
      <c r="BS56" s="68">
        <v>117.579956</v>
      </c>
      <c r="BT56" s="68">
        <v>117.76172</v>
      </c>
      <c r="BU56" s="68">
        <v>118.14185899999997</v>
      </c>
      <c r="BV56" s="68"/>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6"/>
      <c r="CY56" s="56">
        <v>74.31</v>
      </c>
      <c r="CZ56" s="56">
        <v>76.28</v>
      </c>
      <c r="DA56" s="56">
        <v>78.459999999999994</v>
      </c>
      <c r="DB56" s="56">
        <v>80.989999999999995</v>
      </c>
      <c r="DC56" s="56">
        <v>84.56</v>
      </c>
      <c r="DD56" s="56">
        <v>87.29</v>
      </c>
      <c r="DE56" s="56">
        <v>88.48</v>
      </c>
      <c r="DF56" s="543">
        <v>90.42</v>
      </c>
      <c r="DG56" s="543">
        <v>92.14</v>
      </c>
      <c r="DH56" s="543">
        <v>93.96</v>
      </c>
      <c r="DI56" s="543">
        <v>100</v>
      </c>
      <c r="DJ56" s="543">
        <v>108.46</v>
      </c>
      <c r="DK56" s="543">
        <v>111.97</v>
      </c>
      <c r="DL56" s="57">
        <v>114.17</v>
      </c>
      <c r="DM56" s="68">
        <v>115.61</v>
      </c>
      <c r="DN56" s="68">
        <v>118.14185899999997</v>
      </c>
      <c r="DO56" s="68">
        <v>120.72916571209994</v>
      </c>
      <c r="DP56" s="68">
        <v>123.37313444119491</v>
      </c>
      <c r="DQ56" s="68">
        <v>126.07500608545705</v>
      </c>
      <c r="DR56" s="68">
        <v>128.83604871872853</v>
      </c>
      <c r="DS56" s="68">
        <v>131.65755818566868</v>
      </c>
      <c r="DT56" s="68">
        <v>134.54085870993481</v>
      </c>
      <c r="DU56" s="68">
        <v>137.48730351568236</v>
      </c>
      <c r="DV56" s="68">
        <v>140.49827546267576</v>
      </c>
      <c r="DW56" s="68">
        <v>143.57518769530833</v>
      </c>
      <c r="DX56" s="68">
        <v>146.71948430583555</v>
      </c>
      <c r="DY56" s="68">
        <v>149.93264101213333</v>
      </c>
      <c r="DZ56" s="68">
        <v>153.21616585029903</v>
      </c>
      <c r="EA56" s="68">
        <v>156.57159988242054</v>
      </c>
      <c r="EB56" s="68">
        <v>160.00051791984552</v>
      </c>
    </row>
    <row r="57" spans="1:194" s="553" customFormat="1" ht="11.25">
      <c r="A57" s="43" t="s">
        <v>462</v>
      </c>
      <c r="B57" s="66"/>
      <c r="C57" s="66">
        <v>71.349999999999994</v>
      </c>
      <c r="D57" s="66">
        <v>71.28</v>
      </c>
      <c r="E57" s="66">
        <v>71.2</v>
      </c>
      <c r="F57" s="66">
        <v>72.459999999999994</v>
      </c>
      <c r="G57" s="66">
        <v>72.95</v>
      </c>
      <c r="H57" s="66">
        <v>72.900000000000006</v>
      </c>
      <c r="I57" s="66">
        <v>73.45</v>
      </c>
      <c r="J57" s="66">
        <v>74.77</v>
      </c>
      <c r="K57" s="66">
        <v>75.31</v>
      </c>
      <c r="L57" s="66">
        <v>75.62</v>
      </c>
      <c r="M57" s="66">
        <v>76.19</v>
      </c>
      <c r="N57" s="66">
        <v>77.31</v>
      </c>
      <c r="O57" s="66">
        <v>77.72</v>
      </c>
      <c r="P57" s="66">
        <v>77.959999999999994</v>
      </c>
      <c r="Q57" s="66">
        <v>78.05</v>
      </c>
      <c r="R57" s="66">
        <v>78.790000000000006</v>
      </c>
      <c r="S57" s="66">
        <v>79.39</v>
      </c>
      <c r="T57" s="66">
        <v>79.73</v>
      </c>
      <c r="U57" s="66">
        <v>79.56</v>
      </c>
      <c r="V57" s="66">
        <v>80.77</v>
      </c>
      <c r="W57" s="66">
        <v>81.61</v>
      </c>
      <c r="X57" s="66">
        <v>82.01</v>
      </c>
      <c r="Y57" s="66">
        <v>82.47</v>
      </c>
      <c r="Z57" s="66">
        <v>84.45</v>
      </c>
      <c r="AA57" s="66">
        <v>85.21</v>
      </c>
      <c r="AB57" s="66">
        <v>86.39</v>
      </c>
      <c r="AC57" s="66">
        <v>88.05</v>
      </c>
      <c r="AD57" s="66">
        <v>91.18</v>
      </c>
      <c r="AE57" s="66">
        <v>92.54</v>
      </c>
      <c r="AF57" s="66">
        <v>92.68</v>
      </c>
      <c r="AG57" s="66">
        <v>93.11</v>
      </c>
      <c r="AH57" s="66">
        <v>95.46</v>
      </c>
      <c r="AI57" s="66">
        <v>96.23</v>
      </c>
      <c r="AJ57" s="66">
        <v>96.36</v>
      </c>
      <c r="AK57" s="66">
        <v>96.92</v>
      </c>
      <c r="AL57" s="66">
        <v>98.45</v>
      </c>
      <c r="AM57" s="66">
        <v>99.31</v>
      </c>
      <c r="AN57" s="66">
        <v>99.47</v>
      </c>
      <c r="AO57" s="66">
        <v>100</v>
      </c>
      <c r="AP57" s="66">
        <v>101.62</v>
      </c>
      <c r="AQ57" s="66">
        <v>102.71</v>
      </c>
      <c r="AR57" s="569">
        <v>103.26</v>
      </c>
      <c r="AS57" s="569">
        <v>103.8</v>
      </c>
      <c r="AT57" s="569">
        <v>105.53</v>
      </c>
      <c r="AU57" s="569">
        <v>104.97</v>
      </c>
      <c r="AV57" s="569">
        <v>105.29</v>
      </c>
      <c r="AW57" s="569">
        <v>105.48</v>
      </c>
      <c r="AX57" s="569">
        <v>107.12</v>
      </c>
      <c r="AY57" s="569">
        <v>108.78</v>
      </c>
      <c r="AZ57" s="569">
        <v>110.04</v>
      </c>
      <c r="BA57" s="569">
        <v>111.41</v>
      </c>
      <c r="BB57" s="569">
        <v>116.26</v>
      </c>
      <c r="BC57" s="569">
        <v>119.31</v>
      </c>
      <c r="BD57" s="569">
        <v>122.63</v>
      </c>
      <c r="BE57" s="569">
        <v>126.03</v>
      </c>
      <c r="BF57" s="569">
        <v>131.77000000000001</v>
      </c>
      <c r="BG57" s="569">
        <v>133.78</v>
      </c>
      <c r="BH57" s="569">
        <v>136.11000000000001</v>
      </c>
      <c r="BI57" s="569">
        <v>137.72</v>
      </c>
      <c r="BJ57" s="569">
        <v>141.47999999999999</v>
      </c>
      <c r="BK57" s="569">
        <v>143.38</v>
      </c>
      <c r="BL57" s="569">
        <v>144.02000000000001</v>
      </c>
      <c r="BM57" s="569">
        <v>144.88</v>
      </c>
      <c r="BN57" s="569">
        <v>148.68</v>
      </c>
      <c r="BO57" s="569">
        <v>150.30000000000001</v>
      </c>
      <c r="BP57" s="67">
        <v>151.47999999999999</v>
      </c>
      <c r="BQ57" s="68">
        <v>152.27000000000001</v>
      </c>
      <c r="BR57" s="68">
        <v>156.14373600000005</v>
      </c>
      <c r="BS57" s="68">
        <v>157.61961000000005</v>
      </c>
      <c r="BT57" s="68">
        <v>158.59955999999997</v>
      </c>
      <c r="BU57" s="68">
        <v>159.12214999999998</v>
      </c>
      <c r="BV57" s="68"/>
      <c r="BW57" s="68"/>
      <c r="BX57" s="68"/>
      <c r="BY57" s="68"/>
      <c r="BZ57" s="68"/>
      <c r="CA57" s="68"/>
      <c r="CB57" s="68"/>
      <c r="CC57" s="68"/>
      <c r="CD57" s="68"/>
      <c r="CE57" s="68"/>
      <c r="CF57" s="68"/>
      <c r="CG57" s="68"/>
      <c r="CH57" s="68"/>
      <c r="CI57" s="68"/>
      <c r="CJ57" s="68"/>
      <c r="CK57" s="68"/>
      <c r="CL57" s="68"/>
      <c r="CM57" s="68"/>
      <c r="CN57" s="68"/>
      <c r="CO57" s="68"/>
      <c r="CP57" s="68"/>
      <c r="CQ57" s="68"/>
      <c r="CR57" s="68"/>
      <c r="CS57" s="68"/>
      <c r="CT57" s="68"/>
      <c r="CU57" s="68"/>
      <c r="CV57" s="68"/>
      <c r="CW57" s="68"/>
      <c r="CX57" s="66"/>
      <c r="CY57" s="56">
        <v>76.19</v>
      </c>
      <c r="CZ57" s="56">
        <v>78.05</v>
      </c>
      <c r="DA57" s="56">
        <v>79.56</v>
      </c>
      <c r="DB57" s="56">
        <v>82.47</v>
      </c>
      <c r="DC57" s="56">
        <v>88.05</v>
      </c>
      <c r="DD57" s="56">
        <v>93.11</v>
      </c>
      <c r="DE57" s="56">
        <v>96.92</v>
      </c>
      <c r="DF57" s="543">
        <v>100</v>
      </c>
      <c r="DG57" s="543">
        <v>103.8</v>
      </c>
      <c r="DH57" s="543">
        <v>105.48</v>
      </c>
      <c r="DI57" s="543">
        <v>111.41</v>
      </c>
      <c r="DJ57" s="543">
        <v>126.03</v>
      </c>
      <c r="DK57" s="543">
        <v>137.72</v>
      </c>
      <c r="DL57" s="57">
        <v>144.88</v>
      </c>
      <c r="DM57" s="68">
        <v>152.27000000000001</v>
      </c>
      <c r="DN57" s="68">
        <v>159.12214999999998</v>
      </c>
      <c r="DO57" s="68">
        <v>166.28264674999994</v>
      </c>
      <c r="DP57" s="68">
        <v>173.7653658537499</v>
      </c>
      <c r="DQ57" s="68">
        <v>181.58480731716858</v>
      </c>
      <c r="DR57" s="68">
        <v>189.75612364644113</v>
      </c>
      <c r="DS57" s="68">
        <v>198.29514921053092</v>
      </c>
      <c r="DT57" s="68">
        <v>207.21843092500475</v>
      </c>
      <c r="DU57" s="68">
        <v>216.5432603166299</v>
      </c>
      <c r="DV57" s="68">
        <v>226.28770703087818</v>
      </c>
      <c r="DW57" s="68">
        <v>236.47065384726764</v>
      </c>
      <c r="DX57" s="68">
        <v>247.11183327039461</v>
      </c>
      <c r="DY57" s="68">
        <v>258.23186576756228</v>
      </c>
      <c r="DZ57" s="68">
        <v>269.85229972710249</v>
      </c>
      <c r="EA57" s="68">
        <v>281.99565321482203</v>
      </c>
      <c r="EB57" s="68">
        <v>294.68545760948894</v>
      </c>
    </row>
    <row r="58" spans="1:194" s="554" customFormat="1" ht="11.25">
      <c r="A58" s="55" t="s">
        <v>463</v>
      </c>
      <c r="B58" s="123"/>
      <c r="C58" s="66">
        <v>116.14386541</v>
      </c>
      <c r="D58" s="66">
        <v>120.45877168</v>
      </c>
      <c r="E58" s="66">
        <v>126.51374260999999</v>
      </c>
      <c r="F58" s="66">
        <v>136.34471313</v>
      </c>
      <c r="G58" s="66">
        <v>141.40450390999999</v>
      </c>
      <c r="H58" s="66">
        <v>148.14874062999999</v>
      </c>
      <c r="I58" s="66">
        <v>155.51400520999999</v>
      </c>
      <c r="J58" s="66">
        <v>164.29701284000001</v>
      </c>
      <c r="K58" s="66">
        <v>171.87993943000001</v>
      </c>
      <c r="L58" s="66">
        <v>180.64941253999999</v>
      </c>
      <c r="M58" s="66">
        <v>188.54298377999999</v>
      </c>
      <c r="N58" s="66">
        <v>200.26562874000001</v>
      </c>
      <c r="O58" s="66">
        <v>209.92195371</v>
      </c>
      <c r="P58" s="66">
        <v>221.84255389</v>
      </c>
      <c r="Q58" s="66">
        <v>233.59944202</v>
      </c>
      <c r="R58" s="66">
        <v>245.90503382</v>
      </c>
      <c r="S58" s="66">
        <v>258.3520869161249</v>
      </c>
      <c r="T58" s="66">
        <v>275.96656914487227</v>
      </c>
      <c r="U58" s="66">
        <v>295.27585020427756</v>
      </c>
      <c r="V58" s="66">
        <v>334.77037576365274</v>
      </c>
      <c r="W58" s="66">
        <v>362.09662657257428</v>
      </c>
      <c r="X58" s="66">
        <v>387.08062731215972</v>
      </c>
      <c r="Y58" s="136">
        <v>407.5895974314688</v>
      </c>
      <c r="Z58" s="66">
        <v>428.61272000502248</v>
      </c>
      <c r="AA58" s="66">
        <v>454.52981223564421</v>
      </c>
      <c r="AB58" s="66">
        <v>480.12317884692698</v>
      </c>
      <c r="AC58" s="66">
        <v>517.33258238743781</v>
      </c>
      <c r="AD58" s="66">
        <v>578.70715127744097</v>
      </c>
      <c r="AE58" s="66">
        <v>662.3964024276089</v>
      </c>
      <c r="AF58" s="66">
        <v>684.44257094762168</v>
      </c>
      <c r="AG58" s="66">
        <v>720.62809692956375</v>
      </c>
      <c r="AH58" s="66">
        <v>765.47427077788257</v>
      </c>
      <c r="AI58" s="66">
        <v>806.7138419359793</v>
      </c>
      <c r="AJ58" s="66">
        <v>847.72033434005243</v>
      </c>
      <c r="AK58" s="66">
        <v>899.52919491061505</v>
      </c>
      <c r="AL58" s="66">
        <v>959.26507211637067</v>
      </c>
      <c r="AM58" s="66">
        <v>1043.0702857321785</v>
      </c>
      <c r="AN58" s="66">
        <v>1189.9737857599582</v>
      </c>
      <c r="AO58" s="66">
        <v>1328.0213689940729</v>
      </c>
      <c r="AP58" s="66">
        <v>1485.1300074377766</v>
      </c>
      <c r="AQ58" s="66">
        <v>1625.9759621426963</v>
      </c>
      <c r="AR58" s="569">
        <v>1830.1821531501205</v>
      </c>
      <c r="AS58" s="569">
        <v>2044.6447892825279</v>
      </c>
      <c r="AT58" s="569">
        <v>2204.1392018249944</v>
      </c>
      <c r="AU58" s="569">
        <v>2322.5877886159169</v>
      </c>
      <c r="AV58" s="569">
        <v>2500.40494235503</v>
      </c>
      <c r="AW58" s="569">
        <v>2783.6139263630462</v>
      </c>
      <c r="AX58" s="569">
        <v>3144.225671410441</v>
      </c>
      <c r="AY58" s="569">
        <v>3488.5345049994016</v>
      </c>
      <c r="AZ58" s="569">
        <v>3812.428630877137</v>
      </c>
      <c r="BA58" s="569">
        <v>4201.6786761413377</v>
      </c>
      <c r="BB58" s="569">
        <v>4876.8789029154141</v>
      </c>
      <c r="BC58" s="569">
        <v>5720.6627760539168</v>
      </c>
      <c r="BD58" s="569">
        <v>6977.8625145388123</v>
      </c>
      <c r="BE58" s="569">
        <v>8184.5665095683817</v>
      </c>
      <c r="BF58" s="569">
        <v>9963.2430043940694</v>
      </c>
      <c r="BG58" s="569">
        <v>12332.575424094344</v>
      </c>
      <c r="BH58" s="569">
        <v>16626.949857864391</v>
      </c>
      <c r="BI58" s="569">
        <v>25487.293688417769</v>
      </c>
      <c r="BJ58" s="569">
        <v>38644.320329584865</v>
      </c>
      <c r="BK58" s="569">
        <v>45819.188380375817</v>
      </c>
      <c r="BL58" s="569">
        <v>51377.543409609047</v>
      </c>
      <c r="BM58" s="569">
        <v>55502.107871816464</v>
      </c>
      <c r="BN58" s="569">
        <v>60258.157674320923</v>
      </c>
      <c r="BO58" s="569">
        <v>63881.227267240582</v>
      </c>
      <c r="BP58" s="67">
        <v>67693.800171670446</v>
      </c>
      <c r="BQ58" s="71">
        <v>70992.398544501455</v>
      </c>
      <c r="BR58" s="71">
        <v>75559.427573443434</v>
      </c>
      <c r="BS58" s="71">
        <v>79322.155290959214</v>
      </c>
      <c r="BT58" s="71">
        <v>81887.528979655166</v>
      </c>
      <c r="BU58" s="71">
        <v>83951.796977391015</v>
      </c>
      <c r="BV58" s="71"/>
      <c r="BW58" s="71"/>
      <c r="BX58" s="71"/>
      <c r="BY58" s="71"/>
      <c r="BZ58" s="71"/>
      <c r="CA58" s="71"/>
      <c r="CB58" s="71"/>
      <c r="CC58" s="71"/>
      <c r="CD58" s="71"/>
      <c r="CE58" s="71"/>
      <c r="CF58" s="71"/>
      <c r="CG58" s="71"/>
      <c r="CH58" s="71"/>
      <c r="CI58" s="71"/>
      <c r="CJ58" s="71"/>
      <c r="CK58" s="71"/>
      <c r="CL58" s="71"/>
      <c r="CM58" s="71"/>
      <c r="CN58" s="71"/>
      <c r="CO58" s="71"/>
      <c r="CP58" s="71"/>
      <c r="CQ58" s="71"/>
      <c r="CR58" s="71"/>
      <c r="CS58" s="71"/>
      <c r="CT58" s="71"/>
      <c r="CU58" s="71"/>
      <c r="CV58" s="71"/>
      <c r="CW58" s="71"/>
      <c r="CX58" s="69"/>
      <c r="CY58" s="60">
        <v>188.54298377999999</v>
      </c>
      <c r="CZ58" s="60">
        <v>233.59944202</v>
      </c>
      <c r="DA58" s="60">
        <v>295.27585020427756</v>
      </c>
      <c r="DB58" s="60">
        <v>407.5895974314688</v>
      </c>
      <c r="DC58" s="60">
        <v>517.33258238743781</v>
      </c>
      <c r="DD58" s="60">
        <v>720.62809692956375</v>
      </c>
      <c r="DE58" s="60">
        <v>899.52919491061505</v>
      </c>
      <c r="DF58" s="560">
        <v>1328.0213689940729</v>
      </c>
      <c r="DG58" s="560">
        <v>2044.6447892825279</v>
      </c>
      <c r="DH58" s="560">
        <v>2783.6139263630462</v>
      </c>
      <c r="DI58" s="560">
        <v>4201.6786761413377</v>
      </c>
      <c r="DJ58" s="560">
        <v>8184.5665095683817</v>
      </c>
      <c r="DK58" s="560">
        <v>25487.293688417769</v>
      </c>
      <c r="DL58" s="110">
        <v>55502.107871816464</v>
      </c>
      <c r="DM58" s="71">
        <v>70992.398544501455</v>
      </c>
      <c r="DN58" s="68">
        <v>83951.796977391015</v>
      </c>
      <c r="DO58" s="71">
        <v>92346.976675130121</v>
      </c>
      <c r="DP58" s="71">
        <v>99734.734809140544</v>
      </c>
      <c r="DQ58" s="71">
        <v>107713.5135938718</v>
      </c>
      <c r="DR58" s="71">
        <v>116330.59468138155</v>
      </c>
      <c r="DS58" s="71">
        <v>125637.04225589208</v>
      </c>
      <c r="DT58" s="71">
        <v>135688.00563636346</v>
      </c>
      <c r="DU58" s="71">
        <v>146543.04608727255</v>
      </c>
      <c r="DV58" s="71">
        <v>158266.48977425435</v>
      </c>
      <c r="DW58" s="71">
        <v>170927.80895619473</v>
      </c>
      <c r="DX58" s="71">
        <v>184602.0336726903</v>
      </c>
      <c r="DY58" s="71">
        <v>199370.19636650555</v>
      </c>
      <c r="DZ58" s="71">
        <v>215319.81207582602</v>
      </c>
      <c r="EA58" s="71">
        <v>232545.39704189211</v>
      </c>
      <c r="EB58" s="71">
        <v>251149.02880524349</v>
      </c>
      <c r="GL58" s="29"/>
    </row>
    <row r="59" spans="1:194" s="553" customFormat="1" ht="11.25">
      <c r="A59" s="43" t="s">
        <v>465</v>
      </c>
      <c r="B59" s="66"/>
      <c r="C59" s="66">
        <v>2967.1</v>
      </c>
      <c r="D59" s="66">
        <v>2985.83</v>
      </c>
      <c r="E59" s="66">
        <v>3017.59</v>
      </c>
      <c r="F59" s="66">
        <v>3079.86</v>
      </c>
      <c r="G59" s="66">
        <v>3110.74</v>
      </c>
      <c r="H59" s="66">
        <v>3126.29</v>
      </c>
      <c r="I59" s="66">
        <v>3195.89</v>
      </c>
      <c r="J59" s="66">
        <v>3273.86</v>
      </c>
      <c r="K59" s="66">
        <v>3319.55</v>
      </c>
      <c r="L59" s="66">
        <v>3354.85</v>
      </c>
      <c r="M59" s="66">
        <v>3403.73</v>
      </c>
      <c r="N59" s="66">
        <v>3445.41</v>
      </c>
      <c r="O59" s="66">
        <v>3482.72</v>
      </c>
      <c r="P59" s="66">
        <v>3532.06</v>
      </c>
      <c r="Q59" s="66">
        <v>3602.46</v>
      </c>
      <c r="R59" s="66">
        <v>3672.42</v>
      </c>
      <c r="S59" s="66">
        <v>3715.92</v>
      </c>
      <c r="T59" s="66">
        <v>3738.99</v>
      </c>
      <c r="U59" s="66">
        <v>3815.39</v>
      </c>
      <c r="V59" s="66">
        <v>3898.38</v>
      </c>
      <c r="W59" s="66">
        <v>3958.32</v>
      </c>
      <c r="X59" s="66">
        <v>3991.24</v>
      </c>
      <c r="Y59" s="66">
        <v>4059.86</v>
      </c>
      <c r="Z59" s="66">
        <v>4215.26</v>
      </c>
      <c r="AA59" s="66">
        <v>4310.3900000000003</v>
      </c>
      <c r="AB59" s="66">
        <v>4370.12</v>
      </c>
      <c r="AC59" s="66">
        <v>4493.17</v>
      </c>
      <c r="AD59" s="66">
        <v>4610.92</v>
      </c>
      <c r="AE59" s="66">
        <v>4691.59</v>
      </c>
      <c r="AF59" s="66">
        <v>4740.53</v>
      </c>
      <c r="AG59" s="66">
        <v>4775.7</v>
      </c>
      <c r="AH59" s="66">
        <v>4821.6899999999996</v>
      </c>
      <c r="AI59" s="66">
        <v>4832.2700000000004</v>
      </c>
      <c r="AJ59" s="66">
        <v>4860.83</v>
      </c>
      <c r="AK59" s="66">
        <v>4916.46</v>
      </c>
      <c r="AL59" s="66">
        <v>4950.95</v>
      </c>
      <c r="AM59" s="66">
        <v>5044.46</v>
      </c>
      <c r="AN59" s="66">
        <v>5080.83</v>
      </c>
      <c r="AO59" s="66">
        <v>5100.6099999999997</v>
      </c>
      <c r="AP59" s="66">
        <v>5177.47</v>
      </c>
      <c r="AQ59" s="66">
        <v>5214.2700000000004</v>
      </c>
      <c r="AR59" s="569">
        <v>5227.84</v>
      </c>
      <c r="AS59" s="569">
        <v>5320.25</v>
      </c>
      <c r="AT59" s="569">
        <v>5348.49</v>
      </c>
      <c r="AU59" s="569">
        <v>5325.46</v>
      </c>
      <c r="AV59" s="569">
        <v>5391.75</v>
      </c>
      <c r="AW59" s="569">
        <v>5560.59</v>
      </c>
      <c r="AX59" s="569">
        <v>5674.72</v>
      </c>
      <c r="AY59" s="569">
        <v>5769.98</v>
      </c>
      <c r="AZ59" s="569">
        <v>5944.21</v>
      </c>
      <c r="BA59" s="569">
        <v>6120.04</v>
      </c>
      <c r="BB59" s="569">
        <v>6315.93</v>
      </c>
      <c r="BC59" s="569">
        <v>6455.85</v>
      </c>
      <c r="BD59" s="569">
        <v>6370.34</v>
      </c>
      <c r="BE59" s="569">
        <v>6474.09</v>
      </c>
      <c r="BF59" s="569">
        <v>6609.67</v>
      </c>
      <c r="BG59" s="569">
        <v>6659.95</v>
      </c>
      <c r="BH59" s="569">
        <v>6700.66</v>
      </c>
      <c r="BI59" s="569">
        <v>6773.27</v>
      </c>
      <c r="BJ59" s="569">
        <v>6869.14</v>
      </c>
      <c r="BK59" s="569">
        <v>6941.51</v>
      </c>
      <c r="BL59" s="569">
        <v>6997.15</v>
      </c>
      <c r="BM59" s="569">
        <v>7100.5</v>
      </c>
      <c r="BN59" s="569">
        <v>7245.38</v>
      </c>
      <c r="BO59" s="569">
        <v>7312.97</v>
      </c>
      <c r="BP59" s="67">
        <v>7359.06</v>
      </c>
      <c r="BQ59" s="68">
        <v>7403.29</v>
      </c>
      <c r="BR59" s="68">
        <v>7533.7461240000002</v>
      </c>
      <c r="BS59" s="68">
        <v>7576.2369200000003</v>
      </c>
      <c r="BT59" s="68">
        <v>7623.9861600000004</v>
      </c>
      <c r="BU59" s="68">
        <v>7700.1619289999999</v>
      </c>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6"/>
      <c r="CY59" s="56">
        <v>3403.73</v>
      </c>
      <c r="CZ59" s="56">
        <v>3602.46</v>
      </c>
      <c r="DA59" s="56">
        <v>3815.39</v>
      </c>
      <c r="DB59" s="56">
        <v>4059.86</v>
      </c>
      <c r="DC59" s="56">
        <v>4493.17</v>
      </c>
      <c r="DD59" s="56">
        <v>4775.7</v>
      </c>
      <c r="DE59" s="56">
        <v>4916.46</v>
      </c>
      <c r="DF59" s="543">
        <v>5100.6099999999997</v>
      </c>
      <c r="DG59" s="543">
        <v>5320.25</v>
      </c>
      <c r="DH59" s="543">
        <v>5560.59</v>
      </c>
      <c r="DI59" s="543">
        <v>6120.04</v>
      </c>
      <c r="DJ59" s="543">
        <v>6474.09</v>
      </c>
      <c r="DK59" s="543">
        <v>6773.27</v>
      </c>
      <c r="DL59" s="57">
        <v>7100.5</v>
      </c>
      <c r="DM59" s="68">
        <v>7403.29</v>
      </c>
      <c r="DN59" s="68">
        <v>7700.1619289999999</v>
      </c>
      <c r="DO59" s="68">
        <v>8008.9384223529005</v>
      </c>
      <c r="DP59" s="68">
        <v>8330.0968530892515</v>
      </c>
      <c r="DQ59" s="68">
        <v>8664.1337368981312</v>
      </c>
      <c r="DR59" s="68">
        <v>9011.5654997477468</v>
      </c>
      <c r="DS59" s="68">
        <v>9372.9292762876321</v>
      </c>
      <c r="DT59" s="68">
        <v>9748.7837402667665</v>
      </c>
      <c r="DU59" s="68">
        <v>10139.709968251464</v>
      </c>
      <c r="DV59" s="68">
        <v>10546.312337978348</v>
      </c>
      <c r="DW59" s="68">
        <v>10969.21946273128</v>
      </c>
      <c r="DX59" s="68">
        <v>11409.085163186804</v>
      </c>
      <c r="DY59" s="68">
        <v>11866.589478230595</v>
      </c>
      <c r="DZ59" s="68">
        <v>12342.439716307643</v>
      </c>
      <c r="EA59" s="68">
        <v>12837.37154893158</v>
      </c>
      <c r="EB59" s="68">
        <v>13352.150148043736</v>
      </c>
    </row>
    <row r="60" spans="1:194" s="553" customFormat="1" ht="11.25">
      <c r="A60" s="43" t="s">
        <v>466</v>
      </c>
      <c r="B60" s="66"/>
      <c r="C60" s="66">
        <v>69.2</v>
      </c>
      <c r="D60" s="66">
        <v>70</v>
      </c>
      <c r="E60" s="66">
        <v>70.599999999999994</v>
      </c>
      <c r="F60" s="66">
        <v>71.900000000000006</v>
      </c>
      <c r="G60" s="66">
        <v>72.2</v>
      </c>
      <c r="H60" s="66">
        <v>72.7</v>
      </c>
      <c r="I60" s="66">
        <v>75.7</v>
      </c>
      <c r="J60" s="66">
        <v>79.3</v>
      </c>
      <c r="K60" s="66">
        <v>78.599999999999994</v>
      </c>
      <c r="L60" s="66">
        <v>79.5</v>
      </c>
      <c r="M60" s="66">
        <v>79.400000000000006</v>
      </c>
      <c r="N60" s="66">
        <v>81.900000000000006</v>
      </c>
      <c r="O60" s="66">
        <v>81.7</v>
      </c>
      <c r="P60" s="66">
        <v>81.7</v>
      </c>
      <c r="Q60" s="66">
        <v>82.6</v>
      </c>
      <c r="R60" s="66">
        <v>82.8</v>
      </c>
      <c r="S60" s="66">
        <v>83.1</v>
      </c>
      <c r="T60" s="66">
        <v>84.3</v>
      </c>
      <c r="U60" s="66">
        <v>85.7</v>
      </c>
      <c r="V60" s="66">
        <v>87.9</v>
      </c>
      <c r="W60" s="66">
        <v>88.4</v>
      </c>
      <c r="X60" s="66">
        <v>87.8</v>
      </c>
      <c r="Y60" s="66">
        <v>89.3</v>
      </c>
      <c r="Z60" s="66">
        <v>90.2</v>
      </c>
      <c r="AA60" s="66">
        <v>90.6</v>
      </c>
      <c r="AB60" s="66">
        <v>91.1</v>
      </c>
      <c r="AC60" s="66">
        <v>92.1</v>
      </c>
      <c r="AD60" s="66">
        <v>94.5</v>
      </c>
      <c r="AE60" s="66">
        <v>94.8</v>
      </c>
      <c r="AF60" s="66">
        <v>94.3</v>
      </c>
      <c r="AG60" s="66">
        <v>95.7</v>
      </c>
      <c r="AH60" s="66">
        <v>97.1</v>
      </c>
      <c r="AI60" s="66">
        <v>97.6</v>
      </c>
      <c r="AJ60" s="66">
        <v>98.3</v>
      </c>
      <c r="AK60" s="66">
        <v>100</v>
      </c>
      <c r="AL60" s="66">
        <v>101.1</v>
      </c>
      <c r="AM60" s="66">
        <v>101.9</v>
      </c>
      <c r="AN60" s="66">
        <v>102.2</v>
      </c>
      <c r="AO60" s="66">
        <v>103.2</v>
      </c>
      <c r="AP60" s="66">
        <v>103.9</v>
      </c>
      <c r="AQ60" s="66">
        <v>104.8</v>
      </c>
      <c r="AR60" s="569">
        <v>104.9</v>
      </c>
      <c r="AS60" s="569">
        <v>106.1</v>
      </c>
      <c r="AT60" s="569">
        <v>106.5</v>
      </c>
      <c r="AU60" s="569">
        <v>105.3</v>
      </c>
      <c r="AV60" s="569">
        <v>106.6</v>
      </c>
      <c r="AW60" s="569">
        <v>108.4</v>
      </c>
      <c r="AX60" s="569">
        <v>109.1</v>
      </c>
      <c r="AY60" s="569">
        <v>110</v>
      </c>
      <c r="AZ60" s="569">
        <v>113.4</v>
      </c>
      <c r="BA60" s="569">
        <v>115.8</v>
      </c>
      <c r="BB60" s="569">
        <v>120.1</v>
      </c>
      <c r="BC60" s="569">
        <v>122.7</v>
      </c>
      <c r="BD60" s="569">
        <v>124</v>
      </c>
      <c r="BE60" s="569">
        <v>125.2</v>
      </c>
      <c r="BF60" s="569">
        <v>127.8</v>
      </c>
      <c r="BG60" s="569">
        <v>127.9</v>
      </c>
      <c r="BH60" s="569">
        <v>128.30000000000001</v>
      </c>
      <c r="BI60" s="569">
        <v>129.80000000000001</v>
      </c>
      <c r="BJ60" s="569">
        <v>132.4</v>
      </c>
      <c r="BK60" s="569">
        <v>133.4</v>
      </c>
      <c r="BL60" s="569">
        <v>133.5</v>
      </c>
      <c r="BM60" s="569">
        <v>134.69999999999999</v>
      </c>
      <c r="BN60" s="569">
        <v>138.19999999999999</v>
      </c>
      <c r="BO60" s="569">
        <v>138.69999999999999</v>
      </c>
      <c r="BP60" s="67">
        <v>139.19999999999999</v>
      </c>
      <c r="BQ60" s="68">
        <v>138.9</v>
      </c>
      <c r="BR60" s="68">
        <v>141.34903397829498</v>
      </c>
      <c r="BS60" s="68">
        <v>142.11134842249672</v>
      </c>
      <c r="BT60" s="68">
        <v>143.75207468655304</v>
      </c>
      <c r="BU60" s="68">
        <v>145.71880738127484</v>
      </c>
      <c r="BV60" s="68"/>
      <c r="BW60" s="68"/>
      <c r="BX60" s="68"/>
      <c r="BY60" s="68"/>
      <c r="BZ60" s="68"/>
      <c r="CA60" s="68"/>
      <c r="CB60" s="68"/>
      <c r="CC60" s="68"/>
      <c r="CD60" s="68"/>
      <c r="CE60" s="68"/>
      <c r="CF60" s="68"/>
      <c r="CG60" s="68"/>
      <c r="CH60" s="68"/>
      <c r="CI60" s="68"/>
      <c r="CJ60" s="68"/>
      <c r="CK60" s="68"/>
      <c r="CL60" s="68"/>
      <c r="CM60" s="68"/>
      <c r="CN60" s="68"/>
      <c r="CO60" s="68"/>
      <c r="CP60" s="68"/>
      <c r="CQ60" s="68"/>
      <c r="CR60" s="68"/>
      <c r="CS60" s="68"/>
      <c r="CT60" s="68"/>
      <c r="CU60" s="68"/>
      <c r="CV60" s="68"/>
      <c r="CW60" s="68"/>
      <c r="CX60" s="66"/>
      <c r="CY60" s="56">
        <v>79.400000000000006</v>
      </c>
      <c r="CZ60" s="56">
        <v>82.6</v>
      </c>
      <c r="DA60" s="56">
        <v>85.7</v>
      </c>
      <c r="DB60" s="56">
        <v>89.3</v>
      </c>
      <c r="DC60" s="56">
        <v>92.1</v>
      </c>
      <c r="DD60" s="56">
        <v>95.7</v>
      </c>
      <c r="DE60" s="56">
        <v>100</v>
      </c>
      <c r="DF60" s="543">
        <v>103.2</v>
      </c>
      <c r="DG60" s="543">
        <v>106.1</v>
      </c>
      <c r="DH60" s="543">
        <v>108.4</v>
      </c>
      <c r="DI60" s="543">
        <v>115.8</v>
      </c>
      <c r="DJ60" s="543">
        <v>125.2</v>
      </c>
      <c r="DK60" s="543">
        <v>129.80000000000001</v>
      </c>
      <c r="DL60" s="57">
        <v>134.69999999999999</v>
      </c>
      <c r="DM60" s="68">
        <v>138.9</v>
      </c>
      <c r="DN60" s="68">
        <v>145.71880738127484</v>
      </c>
      <c r="DO60" s="68">
        <v>152.8723601484599</v>
      </c>
      <c r="DP60" s="68">
        <v>160.377091449923</v>
      </c>
      <c r="DQ60" s="68">
        <v>168.25024116170215</v>
      </c>
      <c r="DR60" s="68">
        <v>176.50989549096556</v>
      </c>
      <c r="DS60" s="68">
        <v>185.17502852366425</v>
      </c>
      <c r="DT60" s="68">
        <v>194.26554581182077</v>
      </c>
      <c r="DU60" s="68">
        <v>203.80233010058268</v>
      </c>
      <c r="DV60" s="68">
        <v>213.80728930008493</v>
      </c>
      <c r="DW60" s="68">
        <v>224.30340681232241</v>
      </c>
      <c r="DX60" s="68">
        <v>235.31479432864319</v>
      </c>
      <c r="DY60" s="68">
        <v>246.86674721914946</v>
      </c>
      <c r="DZ60" s="68">
        <v>258.98580264124627</v>
      </c>
      <c r="EA60" s="68">
        <v>271.69980050082523</v>
      </c>
      <c r="EB60" s="68">
        <v>285.03794740612346</v>
      </c>
    </row>
    <row r="61" spans="1:194" s="553" customFormat="1" ht="11.25">
      <c r="A61" s="43" t="s">
        <v>467</v>
      </c>
      <c r="B61" s="66"/>
      <c r="C61" s="66">
        <v>70.179400000000001</v>
      </c>
      <c r="D61" s="66">
        <v>70.892700000000005</v>
      </c>
      <c r="E61" s="66">
        <v>71.771900000000002</v>
      </c>
      <c r="F61" s="66">
        <v>73.489699999999999</v>
      </c>
      <c r="G61" s="66">
        <v>72.771199999999993</v>
      </c>
      <c r="H61" s="66">
        <v>73.515100000000004</v>
      </c>
      <c r="I61" s="66">
        <v>74.930999999999997</v>
      </c>
      <c r="J61" s="66">
        <v>75.723500000000001</v>
      </c>
      <c r="K61" s="66">
        <v>75.155500000000004</v>
      </c>
      <c r="L61" s="66">
        <v>75.821100000000001</v>
      </c>
      <c r="M61" s="66">
        <v>77.792400000000001</v>
      </c>
      <c r="N61" s="66">
        <v>78.547399999999996</v>
      </c>
      <c r="O61" s="66">
        <v>78.413700000000006</v>
      </c>
      <c r="P61" s="66">
        <v>79.439099999999996</v>
      </c>
      <c r="Q61" s="66">
        <v>80.568200000000004</v>
      </c>
      <c r="R61" s="66">
        <v>81.8874</v>
      </c>
      <c r="S61" s="66">
        <v>81.619200000000006</v>
      </c>
      <c r="T61" s="66">
        <v>82.132300000000001</v>
      </c>
      <c r="U61" s="66">
        <v>83.770099999999999</v>
      </c>
      <c r="V61" s="66">
        <v>84.965299999999999</v>
      </c>
      <c r="W61" s="66">
        <v>84.682100000000005</v>
      </c>
      <c r="X61" s="66">
        <v>85.596299999999999</v>
      </c>
      <c r="Y61" s="66">
        <v>87.188999999999993</v>
      </c>
      <c r="Z61" s="66">
        <v>87.630700000000004</v>
      </c>
      <c r="AA61" s="66">
        <v>87.113100000000003</v>
      </c>
      <c r="AB61" s="66">
        <v>87.752399999999994</v>
      </c>
      <c r="AC61" s="66">
        <v>89.046800000000005</v>
      </c>
      <c r="AD61" s="66">
        <v>89.91</v>
      </c>
      <c r="AE61" s="66">
        <v>89.323999999999998</v>
      </c>
      <c r="AF61" s="66">
        <v>90.357699999999994</v>
      </c>
      <c r="AG61" s="66">
        <v>92.039000000000001</v>
      </c>
      <c r="AH61" s="66">
        <v>94.722499999999997</v>
      </c>
      <c r="AI61" s="66">
        <v>94.9636</v>
      </c>
      <c r="AJ61" s="66">
        <v>96.093500000000006</v>
      </c>
      <c r="AK61" s="66">
        <v>98.272900000000007</v>
      </c>
      <c r="AL61" s="66">
        <v>99.492199999999997</v>
      </c>
      <c r="AM61" s="66">
        <v>99.376499999999993</v>
      </c>
      <c r="AN61" s="66">
        <v>100.917</v>
      </c>
      <c r="AO61" s="66">
        <v>103.02</v>
      </c>
      <c r="AP61" s="66">
        <v>103.476</v>
      </c>
      <c r="AQ61" s="66">
        <v>103.29900000000001</v>
      </c>
      <c r="AR61" s="569">
        <v>103.94199999999999</v>
      </c>
      <c r="AS61" s="569">
        <v>105.934</v>
      </c>
      <c r="AT61" s="569">
        <v>106.83799999999999</v>
      </c>
      <c r="AU61" s="569">
        <v>106.74299999999999</v>
      </c>
      <c r="AV61" s="569">
        <v>108.114</v>
      </c>
      <c r="AW61" s="569">
        <v>109.271</v>
      </c>
      <c r="AX61" s="569">
        <v>111.824</v>
      </c>
      <c r="AY61" s="569">
        <v>113.018</v>
      </c>
      <c r="AZ61" s="569">
        <v>114.601</v>
      </c>
      <c r="BA61" s="569">
        <v>117.30800000000001</v>
      </c>
      <c r="BB61" s="569">
        <v>120.15900000000001</v>
      </c>
      <c r="BC61" s="569">
        <v>122.044</v>
      </c>
      <c r="BD61" s="569">
        <v>124.571</v>
      </c>
      <c r="BE61" s="569">
        <v>126.47799999999999</v>
      </c>
      <c r="BF61" s="569">
        <v>128.38900000000001</v>
      </c>
      <c r="BG61" s="569">
        <v>128.214</v>
      </c>
      <c r="BH61" s="569">
        <v>130.12</v>
      </c>
      <c r="BI61" s="569">
        <v>132.37299999999999</v>
      </c>
      <c r="BJ61" s="569">
        <v>134.065</v>
      </c>
      <c r="BK61" s="569">
        <v>134.59399999999999</v>
      </c>
      <c r="BL61" s="569">
        <v>136.08000000000001</v>
      </c>
      <c r="BM61" s="569">
        <v>137.94900000000001</v>
      </c>
      <c r="BN61" s="569">
        <v>139.161</v>
      </c>
      <c r="BO61" s="569">
        <v>140.405</v>
      </c>
      <c r="BP61" s="67">
        <v>141.197</v>
      </c>
      <c r="BQ61" s="68">
        <v>143.042</v>
      </c>
      <c r="BR61" s="68">
        <v>144.03163500000002</v>
      </c>
      <c r="BS61" s="68">
        <v>145.31917499999997</v>
      </c>
      <c r="BT61" s="68">
        <v>146.13889499999996</v>
      </c>
      <c r="BU61" s="68">
        <v>148.04846999999998</v>
      </c>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6"/>
      <c r="CY61" s="56">
        <v>77.792400000000001</v>
      </c>
      <c r="CZ61" s="56">
        <v>80.568200000000004</v>
      </c>
      <c r="DA61" s="56">
        <v>83.770099999999999</v>
      </c>
      <c r="DB61" s="56">
        <v>87.188999999999993</v>
      </c>
      <c r="DC61" s="56">
        <v>89.046800000000005</v>
      </c>
      <c r="DD61" s="56">
        <v>92.039000000000001</v>
      </c>
      <c r="DE61" s="56">
        <v>98.272900000000007</v>
      </c>
      <c r="DF61" s="543">
        <v>103.02</v>
      </c>
      <c r="DG61" s="543">
        <v>105.934</v>
      </c>
      <c r="DH61" s="543">
        <v>109.271</v>
      </c>
      <c r="DI61" s="543">
        <v>117.30800000000001</v>
      </c>
      <c r="DJ61" s="543">
        <v>126.47799999999999</v>
      </c>
      <c r="DK61" s="543">
        <v>132.37299999999999</v>
      </c>
      <c r="DL61" s="57">
        <v>137.94900000000001</v>
      </c>
      <c r="DM61" s="68">
        <v>143.042</v>
      </c>
      <c r="DN61" s="68">
        <v>148.04846999999998</v>
      </c>
      <c r="DO61" s="68">
        <v>153.23016644999996</v>
      </c>
      <c r="DP61" s="68">
        <v>158.59322227574995</v>
      </c>
      <c r="DQ61" s="68">
        <v>164.14398505540117</v>
      </c>
      <c r="DR61" s="68">
        <v>169.88902453234022</v>
      </c>
      <c r="DS61" s="68">
        <v>175.8351403909721</v>
      </c>
      <c r="DT61" s="68">
        <v>181.98937030465612</v>
      </c>
      <c r="DU61" s="68">
        <v>188.35899826531906</v>
      </c>
      <c r="DV61" s="68">
        <v>194.95156320460521</v>
      </c>
      <c r="DW61" s="68">
        <v>201.77486791676637</v>
      </c>
      <c r="DX61" s="68">
        <v>208.83698829385318</v>
      </c>
      <c r="DY61" s="68">
        <v>216.14628288413803</v>
      </c>
      <c r="DZ61" s="68">
        <v>223.71140278508284</v>
      </c>
      <c r="EA61" s="68">
        <v>231.54130188256073</v>
      </c>
      <c r="EB61" s="68">
        <v>239.64524744845033</v>
      </c>
    </row>
    <row r="62" spans="1:194" s="553" customFormat="1" ht="11.25">
      <c r="A62" s="43" t="s">
        <v>468</v>
      </c>
      <c r="B62" s="66"/>
      <c r="C62" s="66">
        <v>34.770000000000003</v>
      </c>
      <c r="D62" s="66">
        <v>35.630000000000003</v>
      </c>
      <c r="E62" s="66">
        <v>35.82</v>
      </c>
      <c r="F62" s="66">
        <v>36.700000000000003</v>
      </c>
      <c r="G62" s="66">
        <v>36.92</v>
      </c>
      <c r="H62" s="66">
        <v>37.880000000000003</v>
      </c>
      <c r="I62" s="66">
        <v>38.299999999999997</v>
      </c>
      <c r="J62" s="66">
        <v>39.700000000000003</v>
      </c>
      <c r="K62" s="66">
        <v>40.1</v>
      </c>
      <c r="L62" s="66">
        <v>40.840000000000003</v>
      </c>
      <c r="M62" s="66">
        <v>41.59</v>
      </c>
      <c r="N62" s="66">
        <v>42.67</v>
      </c>
      <c r="O62" s="66">
        <v>43.31</v>
      </c>
      <c r="P62" s="66">
        <v>44.37</v>
      </c>
      <c r="Q62" s="66">
        <v>44.7</v>
      </c>
      <c r="R62" s="66">
        <v>46.31</v>
      </c>
      <c r="S62" s="66">
        <v>46.87</v>
      </c>
      <c r="T62" s="66">
        <v>48.37</v>
      </c>
      <c r="U62" s="66">
        <v>48.51</v>
      </c>
      <c r="V62" s="66">
        <v>50.82</v>
      </c>
      <c r="W62" s="66">
        <v>51.12</v>
      </c>
      <c r="X62" s="66">
        <v>52.41</v>
      </c>
      <c r="Y62" s="66">
        <v>52.52</v>
      </c>
      <c r="Z62" s="66">
        <v>54.65</v>
      </c>
      <c r="AA62" s="66">
        <v>55.48</v>
      </c>
      <c r="AB62" s="66">
        <v>57.2</v>
      </c>
      <c r="AC62" s="66">
        <v>57.48</v>
      </c>
      <c r="AD62" s="66">
        <v>60.44</v>
      </c>
      <c r="AE62" s="66">
        <v>61.55</v>
      </c>
      <c r="AF62" s="66">
        <v>62.3</v>
      </c>
      <c r="AG62" s="66">
        <v>62.13</v>
      </c>
      <c r="AH62" s="66">
        <v>64.5</v>
      </c>
      <c r="AI62" s="66">
        <v>64.819999999999993</v>
      </c>
      <c r="AJ62" s="66">
        <v>65.88</v>
      </c>
      <c r="AK62" s="66">
        <v>66.2</v>
      </c>
      <c r="AL62" s="66">
        <v>68.790000000000006</v>
      </c>
      <c r="AM62" s="66">
        <v>70.08</v>
      </c>
      <c r="AN62" s="66">
        <v>71.33</v>
      </c>
      <c r="AO62" s="66">
        <v>71.47</v>
      </c>
      <c r="AP62" s="66">
        <v>74.14</v>
      </c>
      <c r="AQ62" s="66">
        <v>75.239999999999995</v>
      </c>
      <c r="AR62" s="569">
        <v>76.87</v>
      </c>
      <c r="AS62" s="569">
        <v>77.760000000000005</v>
      </c>
      <c r="AT62" s="569">
        <v>80.930000000000007</v>
      </c>
      <c r="AU62" s="569">
        <v>83.03</v>
      </c>
      <c r="AV62" s="569">
        <v>84.5</v>
      </c>
      <c r="AW62" s="569">
        <v>85.07</v>
      </c>
      <c r="AX62" s="569">
        <v>87.69</v>
      </c>
      <c r="AY62" s="569">
        <v>89.12</v>
      </c>
      <c r="AZ62" s="569">
        <v>90.76</v>
      </c>
      <c r="BA62" s="569">
        <v>91.85</v>
      </c>
      <c r="BB62" s="569">
        <v>95.91</v>
      </c>
      <c r="BC62" s="569">
        <v>97.4</v>
      </c>
      <c r="BD62" s="569">
        <v>99.79</v>
      </c>
      <c r="BE62" s="569">
        <v>99.47</v>
      </c>
      <c r="BF62" s="569">
        <v>102.94</v>
      </c>
      <c r="BG62" s="569">
        <v>103.22</v>
      </c>
      <c r="BH62" s="569">
        <v>103.66</v>
      </c>
      <c r="BI62" s="569">
        <v>104.55</v>
      </c>
      <c r="BJ62" s="569">
        <v>106.85</v>
      </c>
      <c r="BK62" s="569">
        <v>108.34</v>
      </c>
      <c r="BL62" s="569">
        <v>109.17</v>
      </c>
      <c r="BM62" s="569">
        <v>110.29</v>
      </c>
      <c r="BN62" s="569">
        <v>112.92</v>
      </c>
      <c r="BO62" s="569">
        <v>113.31</v>
      </c>
      <c r="BP62" s="67">
        <v>113.81</v>
      </c>
      <c r="BQ62" s="68">
        <v>114.32</v>
      </c>
      <c r="BR62" s="68">
        <v>118.30804061526086</v>
      </c>
      <c r="BS62" s="68">
        <v>120.14600308545937</v>
      </c>
      <c r="BT62" s="68">
        <v>122.27312129015195</v>
      </c>
      <c r="BU62" s="68">
        <v>123.3229291036599</v>
      </c>
      <c r="BV62" s="68"/>
      <c r="BW62" s="68"/>
      <c r="BX62" s="68"/>
      <c r="BY62" s="68"/>
      <c r="BZ62" s="68"/>
      <c r="CA62" s="68"/>
      <c r="CB62" s="68"/>
      <c r="CC62" s="68"/>
      <c r="CD62" s="68"/>
      <c r="CE62" s="68"/>
      <c r="CF62" s="68"/>
      <c r="CG62" s="68"/>
      <c r="CH62" s="68"/>
      <c r="CI62" s="68"/>
      <c r="CJ62" s="68"/>
      <c r="CK62" s="68"/>
      <c r="CL62" s="68"/>
      <c r="CM62" s="68"/>
      <c r="CN62" s="68"/>
      <c r="CO62" s="68"/>
      <c r="CP62" s="68"/>
      <c r="CQ62" s="68"/>
      <c r="CR62" s="68"/>
      <c r="CS62" s="68"/>
      <c r="CT62" s="68"/>
      <c r="CU62" s="68"/>
      <c r="CV62" s="68"/>
      <c r="CW62" s="68"/>
      <c r="CX62" s="66"/>
      <c r="CY62" s="56">
        <v>41.59</v>
      </c>
      <c r="CZ62" s="56">
        <v>44.7</v>
      </c>
      <c r="DA62" s="56">
        <v>48.51</v>
      </c>
      <c r="DB62" s="56">
        <v>52.52</v>
      </c>
      <c r="DC62" s="56">
        <v>57.48</v>
      </c>
      <c r="DD62" s="56">
        <v>62.13</v>
      </c>
      <c r="DE62" s="56">
        <v>66.2</v>
      </c>
      <c r="DF62" s="543">
        <v>71.47</v>
      </c>
      <c r="DG62" s="543">
        <v>77.760000000000005</v>
      </c>
      <c r="DH62" s="543">
        <v>85.07</v>
      </c>
      <c r="DI62" s="543">
        <v>91.85</v>
      </c>
      <c r="DJ62" s="543">
        <v>99.47</v>
      </c>
      <c r="DK62" s="543">
        <v>104.55</v>
      </c>
      <c r="DL62" s="57">
        <v>110.29</v>
      </c>
      <c r="DM62" s="68">
        <v>114.32</v>
      </c>
      <c r="DN62" s="68">
        <v>123.3229291036599</v>
      </c>
      <c r="DO62" s="68">
        <v>133.03485691660538</v>
      </c>
      <c r="DP62" s="68">
        <v>143.51161850806565</v>
      </c>
      <c r="DQ62" s="68">
        <v>154.81344607086831</v>
      </c>
      <c r="DR62" s="68">
        <v>167.00531520373485</v>
      </c>
      <c r="DS62" s="68">
        <v>180.15731846400078</v>
      </c>
      <c r="DT62" s="68">
        <v>194.34506833836116</v>
      </c>
      <c r="DU62" s="68">
        <v>209.65013194836993</v>
      </c>
      <c r="DV62" s="68">
        <v>226.16049998986853</v>
      </c>
      <c r="DW62" s="68">
        <v>243.9710926023341</v>
      </c>
      <c r="DX62" s="68">
        <v>263.18430507645286</v>
      </c>
      <c r="DY62" s="68">
        <v>283.91059653725853</v>
      </c>
      <c r="DZ62" s="68">
        <v>306.26912498724744</v>
      </c>
      <c r="EA62" s="68">
        <v>330.38843236041174</v>
      </c>
      <c r="EB62" s="68">
        <v>356.40718352565074</v>
      </c>
    </row>
    <row r="63" spans="1:194" s="553" customFormat="1" ht="11.25">
      <c r="A63" s="53" t="s">
        <v>469</v>
      </c>
      <c r="B63" s="66"/>
      <c r="C63" s="66">
        <v>86.614000000000004</v>
      </c>
      <c r="D63" s="66">
        <v>85.971000000000004</v>
      </c>
      <c r="E63" s="66">
        <v>87.031000000000006</v>
      </c>
      <c r="F63" s="66">
        <v>86.638999999999996</v>
      </c>
      <c r="G63" s="66">
        <v>87.912999999999997</v>
      </c>
      <c r="H63" s="66">
        <v>87.801000000000002</v>
      </c>
      <c r="I63" s="66">
        <v>89.631</v>
      </c>
      <c r="J63" s="66">
        <v>89.754000000000005</v>
      </c>
      <c r="K63" s="66">
        <v>90.712999999999994</v>
      </c>
      <c r="L63" s="66">
        <v>90.558999999999997</v>
      </c>
      <c r="M63" s="66">
        <v>91.762</v>
      </c>
      <c r="N63" s="66">
        <v>91.457999999999998</v>
      </c>
      <c r="O63" s="66">
        <v>92.433000000000007</v>
      </c>
      <c r="P63" s="66">
        <v>93.649000000000001</v>
      </c>
      <c r="Q63" s="66">
        <v>94.394000000000005</v>
      </c>
      <c r="R63" s="66">
        <v>93.677999999999997</v>
      </c>
      <c r="S63" s="66">
        <v>94.34</v>
      </c>
      <c r="T63" s="66">
        <v>93.968999999999994</v>
      </c>
      <c r="U63" s="66">
        <v>94.632000000000005</v>
      </c>
      <c r="V63" s="66">
        <v>93.540999999999997</v>
      </c>
      <c r="W63" s="66">
        <v>94.421000000000006</v>
      </c>
      <c r="X63" s="66">
        <v>93.823999999999998</v>
      </c>
      <c r="Y63" s="66">
        <v>93.646000000000001</v>
      </c>
      <c r="Z63" s="66">
        <v>92.92</v>
      </c>
      <c r="AA63" s="66">
        <v>94.474000000000004</v>
      </c>
      <c r="AB63" s="66">
        <v>92.998999999999995</v>
      </c>
      <c r="AC63" s="66">
        <v>93.662999999999997</v>
      </c>
      <c r="AD63" s="66">
        <v>92.138999999999996</v>
      </c>
      <c r="AE63" s="66">
        <v>93.722999999999999</v>
      </c>
      <c r="AF63" s="66">
        <v>93.165000000000006</v>
      </c>
      <c r="AG63" s="66">
        <v>95.132000000000005</v>
      </c>
      <c r="AH63" s="66">
        <v>94.248999999999995</v>
      </c>
      <c r="AI63" s="66">
        <v>95.138000000000005</v>
      </c>
      <c r="AJ63" s="66">
        <v>94.834999999999994</v>
      </c>
      <c r="AK63" s="66">
        <v>96.19</v>
      </c>
      <c r="AL63" s="66">
        <v>95.393000000000001</v>
      </c>
      <c r="AM63" s="66">
        <v>97.302000000000007</v>
      </c>
      <c r="AN63" s="66">
        <v>96.977999999999994</v>
      </c>
      <c r="AO63" s="66">
        <v>97.328999999999994</v>
      </c>
      <c r="AP63" s="66">
        <v>96.668999999999997</v>
      </c>
      <c r="AQ63" s="66">
        <v>97.718999999999994</v>
      </c>
      <c r="AR63" s="569">
        <v>97.058999999999997</v>
      </c>
      <c r="AS63" s="569">
        <v>98.096000000000004</v>
      </c>
      <c r="AT63" s="569">
        <v>96.652000000000001</v>
      </c>
      <c r="AU63" s="569">
        <v>97.385000000000005</v>
      </c>
      <c r="AV63" s="569">
        <v>96.7</v>
      </c>
      <c r="AW63" s="569">
        <v>97.573999999999998</v>
      </c>
      <c r="AX63" s="569">
        <v>97.948999999999998</v>
      </c>
      <c r="AY63" s="569">
        <v>100.04600000000001</v>
      </c>
      <c r="AZ63" s="569">
        <v>100.575</v>
      </c>
      <c r="BA63" s="569">
        <v>103.965</v>
      </c>
      <c r="BB63" s="569">
        <v>107.566</v>
      </c>
      <c r="BC63" s="569">
        <v>110.267</v>
      </c>
      <c r="BD63" s="569">
        <v>109.498</v>
      </c>
      <c r="BE63" s="569">
        <v>109.899</v>
      </c>
      <c r="BF63" s="569">
        <v>111.111</v>
      </c>
      <c r="BG63" s="569">
        <v>112.354</v>
      </c>
      <c r="BH63" s="569">
        <v>113.348</v>
      </c>
      <c r="BI63" s="569">
        <v>113.30800000000001</v>
      </c>
      <c r="BJ63" s="569">
        <v>114.67400000000001</v>
      </c>
      <c r="BK63" s="569">
        <v>116.212</v>
      </c>
      <c r="BL63" s="569">
        <v>115.009</v>
      </c>
      <c r="BM63" s="569">
        <v>116.53400000000001</v>
      </c>
      <c r="BN63" s="569">
        <v>117.26</v>
      </c>
      <c r="BO63" s="569">
        <v>118.867</v>
      </c>
      <c r="BP63" s="67">
        <v>118.485</v>
      </c>
      <c r="BQ63" s="68">
        <v>119.532</v>
      </c>
      <c r="BR63" s="68">
        <v>119.81626800000002</v>
      </c>
      <c r="BS63" s="68">
        <v>121.60094099999998</v>
      </c>
      <c r="BT63" s="68">
        <v>120.74806349999997</v>
      </c>
      <c r="BU63" s="68">
        <v>121.80310800000001</v>
      </c>
      <c r="BV63" s="68"/>
      <c r="BW63" s="68"/>
      <c r="BX63" s="68"/>
      <c r="BY63" s="68"/>
      <c r="BZ63" s="68"/>
      <c r="CA63" s="68"/>
      <c r="CB63" s="68"/>
      <c r="CC63" s="68"/>
      <c r="CD63" s="68"/>
      <c r="CE63" s="68"/>
      <c r="CF63" s="68"/>
      <c r="CG63" s="68"/>
      <c r="CH63" s="68"/>
      <c r="CI63" s="68"/>
      <c r="CJ63" s="68"/>
      <c r="CK63" s="68"/>
      <c r="CL63" s="68"/>
      <c r="CM63" s="68"/>
      <c r="CN63" s="68"/>
      <c r="CO63" s="68"/>
      <c r="CP63" s="68"/>
      <c r="CQ63" s="68"/>
      <c r="CR63" s="68"/>
      <c r="CS63" s="68"/>
      <c r="CT63" s="68"/>
      <c r="CU63" s="68"/>
      <c r="CV63" s="68"/>
      <c r="CW63" s="68"/>
      <c r="CX63" s="66"/>
      <c r="CY63" s="56">
        <v>91.762</v>
      </c>
      <c r="CZ63" s="56">
        <v>94.394000000000005</v>
      </c>
      <c r="DA63" s="56">
        <v>94.632000000000005</v>
      </c>
      <c r="DB63" s="56">
        <v>93.646000000000001</v>
      </c>
      <c r="DC63" s="56">
        <v>93.662999999999997</v>
      </c>
      <c r="DD63" s="56">
        <v>95.132000000000005</v>
      </c>
      <c r="DE63" s="56">
        <v>96.19</v>
      </c>
      <c r="DF63" s="543">
        <v>97.328999999999994</v>
      </c>
      <c r="DG63" s="543">
        <v>98.096000000000004</v>
      </c>
      <c r="DH63" s="543">
        <v>97.573999999999998</v>
      </c>
      <c r="DI63" s="543">
        <v>103.965</v>
      </c>
      <c r="DJ63" s="543">
        <v>109.899</v>
      </c>
      <c r="DK63" s="543">
        <v>113.30800000000001</v>
      </c>
      <c r="DL63" s="57">
        <v>116.53400000000001</v>
      </c>
      <c r="DM63" s="68">
        <v>119.532</v>
      </c>
      <c r="DN63" s="68">
        <v>121.80310800000001</v>
      </c>
      <c r="DO63" s="68">
        <v>124.11736705200002</v>
      </c>
      <c r="DP63" s="68">
        <v>126.47559702598804</v>
      </c>
      <c r="DQ63" s="68">
        <v>128.87863336948183</v>
      </c>
      <c r="DR63" s="68">
        <v>131.32732740350201</v>
      </c>
      <c r="DS63" s="68">
        <v>133.82254662416855</v>
      </c>
      <c r="DT63" s="68">
        <v>136.36517501002777</v>
      </c>
      <c r="DU63" s="68">
        <v>138.9561133352183</v>
      </c>
      <c r="DV63" s="68">
        <v>141.59627948858747</v>
      </c>
      <c r="DW63" s="68">
        <v>144.28660879887065</v>
      </c>
      <c r="DX63" s="68">
        <v>147.02805436604922</v>
      </c>
      <c r="DY63" s="68">
        <v>149.82158739900416</v>
      </c>
      <c r="DZ63" s="68">
        <v>152.66819755958525</v>
      </c>
      <c r="EA63" s="68">
        <v>155.56889331321739</v>
      </c>
      <c r="EB63" s="68">
        <v>158.52470228616855</v>
      </c>
    </row>
    <row r="64" spans="1:194" s="554" customFormat="1" ht="11.25">
      <c r="A64" s="54"/>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570"/>
      <c r="AS64" s="570"/>
      <c r="AT64" s="570"/>
      <c r="AU64" s="570"/>
      <c r="AV64" s="570"/>
      <c r="AW64" s="570"/>
      <c r="AX64" s="570"/>
      <c r="AY64" s="570"/>
      <c r="AZ64" s="570"/>
      <c r="BA64" s="570"/>
      <c r="BB64" s="570"/>
      <c r="BC64" s="570"/>
      <c r="BD64" s="570"/>
      <c r="BE64" s="570"/>
      <c r="BF64" s="570"/>
      <c r="BG64" s="570"/>
      <c r="BH64" s="570"/>
      <c r="BI64" s="570"/>
      <c r="BJ64" s="570"/>
      <c r="BK64" s="570"/>
      <c r="BL64" s="570"/>
      <c r="BM64" s="570"/>
      <c r="BN64" s="570"/>
      <c r="BO64" s="570"/>
      <c r="BP64" s="623"/>
      <c r="BQ64" s="124"/>
      <c r="BR64" s="124"/>
      <c r="BS64" s="124"/>
      <c r="BT64" s="124"/>
      <c r="BU64" s="124"/>
      <c r="BV64" s="124"/>
      <c r="BW64" s="124"/>
      <c r="BX64" s="124"/>
      <c r="BY64" s="124"/>
      <c r="BZ64" s="124"/>
      <c r="CA64" s="124"/>
      <c r="CB64" s="124"/>
      <c r="CC64" s="124"/>
      <c r="CD64" s="124"/>
      <c r="CE64" s="124"/>
      <c r="CF64" s="124"/>
      <c r="CG64" s="124"/>
      <c r="CH64" s="124"/>
      <c r="CI64" s="124"/>
      <c r="CJ64" s="124"/>
      <c r="CK64" s="124"/>
      <c r="CL64" s="124"/>
      <c r="CM64" s="124"/>
      <c r="CN64" s="124"/>
      <c r="CO64" s="124"/>
      <c r="CP64" s="124"/>
      <c r="CQ64" s="124"/>
      <c r="CR64" s="124"/>
      <c r="CS64" s="124"/>
      <c r="CT64" s="124"/>
      <c r="CU64" s="124"/>
      <c r="CV64" s="71"/>
      <c r="CW64" s="71"/>
      <c r="CX64" s="69"/>
      <c r="CY64" s="60"/>
      <c r="CZ64" s="60"/>
      <c r="DA64" s="60"/>
      <c r="DB64" s="60"/>
      <c r="DC64" s="60"/>
      <c r="DD64" s="60"/>
      <c r="DE64" s="60"/>
      <c r="DF64" s="560"/>
      <c r="DG64" s="560"/>
      <c r="DH64" s="560"/>
      <c r="DI64" s="560"/>
      <c r="DJ64" s="560"/>
      <c r="DK64" s="560"/>
      <c r="DL64" s="110"/>
      <c r="DM64" s="71"/>
      <c r="DN64" s="68"/>
      <c r="DO64" s="71"/>
      <c r="DP64" s="71"/>
      <c r="DQ64" s="71"/>
      <c r="DR64" s="71"/>
      <c r="DS64" s="71"/>
      <c r="DT64" s="71"/>
      <c r="DU64" s="71"/>
      <c r="DV64" s="71"/>
      <c r="DW64" s="71"/>
      <c r="DX64" s="71"/>
      <c r="DY64" s="71"/>
      <c r="DZ64" s="71"/>
      <c r="EA64" s="71"/>
      <c r="EB64" s="71"/>
    </row>
    <row r="65" spans="1:132" s="553" customFormat="1" ht="11.25">
      <c r="A65" s="55" t="s">
        <v>470</v>
      </c>
      <c r="B65" s="66"/>
      <c r="C65" s="66"/>
      <c r="D65" s="66"/>
      <c r="E65" s="66"/>
      <c r="F65" s="66"/>
      <c r="G65" s="66"/>
      <c r="H65" s="66"/>
      <c r="I65" s="66"/>
      <c r="J65" s="66"/>
      <c r="K65" s="66"/>
      <c r="L65" s="66"/>
      <c r="M65" s="66"/>
      <c r="N65" s="66"/>
      <c r="O65" s="66"/>
      <c r="P65" s="66"/>
      <c r="Q65" s="66"/>
      <c r="R65" s="66"/>
      <c r="S65" s="66"/>
      <c r="T65" s="66"/>
      <c r="U65" s="66"/>
      <c r="V65" s="66">
        <v>96.99</v>
      </c>
      <c r="W65" s="66">
        <v>98.99</v>
      </c>
      <c r="X65" s="66">
        <v>100.09</v>
      </c>
      <c r="Y65" s="66">
        <v>99.92</v>
      </c>
      <c r="Z65" s="66">
        <v>99.94</v>
      </c>
      <c r="AA65" s="66">
        <v>100</v>
      </c>
      <c r="AB65" s="66">
        <v>99.22</v>
      </c>
      <c r="AC65" s="66">
        <v>99.12</v>
      </c>
      <c r="AD65" s="66">
        <v>98.86</v>
      </c>
      <c r="AE65" s="66">
        <v>99.12</v>
      </c>
      <c r="AF65" s="66">
        <v>99.6</v>
      </c>
      <c r="AG65" s="66">
        <v>99.87</v>
      </c>
      <c r="AH65" s="66">
        <v>100.42</v>
      </c>
      <c r="AI65" s="66">
        <v>100.88</v>
      </c>
      <c r="AJ65" s="66">
        <v>101.24</v>
      </c>
      <c r="AK65" s="66">
        <v>102.45</v>
      </c>
      <c r="AL65" s="66">
        <v>103.05</v>
      </c>
      <c r="AM65" s="66">
        <v>103.03</v>
      </c>
      <c r="AN65" s="66">
        <v>103.48</v>
      </c>
      <c r="AO65" s="66">
        <v>104.52</v>
      </c>
      <c r="AP65" s="66">
        <v>104.51</v>
      </c>
      <c r="AQ65" s="66">
        <v>105.53</v>
      </c>
      <c r="AR65" s="569">
        <v>106.09</v>
      </c>
      <c r="AS65" s="569">
        <v>106.11</v>
      </c>
      <c r="AT65" s="569">
        <v>106.5</v>
      </c>
      <c r="AU65" s="569">
        <v>105.86</v>
      </c>
      <c r="AV65" s="569">
        <v>106.41</v>
      </c>
      <c r="AW65" s="569">
        <v>107.06</v>
      </c>
      <c r="AX65" s="569">
        <v>99.95</v>
      </c>
      <c r="AY65" s="569">
        <v>100.76</v>
      </c>
      <c r="AZ65" s="569">
        <v>101.47</v>
      </c>
      <c r="BA65" s="569">
        <v>103.3</v>
      </c>
      <c r="BB65" s="569">
        <v>105.74</v>
      </c>
      <c r="BC65" s="569">
        <v>110.89</v>
      </c>
      <c r="BD65" s="569">
        <v>111.98</v>
      </c>
      <c r="BE65" s="569">
        <v>111.44</v>
      </c>
      <c r="BF65" s="569">
        <v>110.41</v>
      </c>
      <c r="BG65" s="569">
        <v>109.74</v>
      </c>
      <c r="BH65" s="569">
        <v>109.48</v>
      </c>
      <c r="BI65" s="569">
        <v>109.47</v>
      </c>
      <c r="BJ65" s="569">
        <v>109.1</v>
      </c>
      <c r="BK65" s="569">
        <v>109.71</v>
      </c>
      <c r="BL65" s="569">
        <v>109.33</v>
      </c>
      <c r="BM65" s="569">
        <v>110.39</v>
      </c>
      <c r="BN65" s="569">
        <v>110.42</v>
      </c>
      <c r="BO65" s="569">
        <v>109.47</v>
      </c>
      <c r="BP65" s="67">
        <v>108.24</v>
      </c>
      <c r="BQ65" s="68">
        <v>109.04</v>
      </c>
      <c r="BR65" s="68">
        <v>107.91169840625786</v>
      </c>
      <c r="BS65" s="68">
        <v>108.99776363853535</v>
      </c>
      <c r="BT65" s="68">
        <v>109.3517586351493</v>
      </c>
      <c r="BU65" s="68">
        <v>109.98436123966248</v>
      </c>
      <c r="BV65" s="68"/>
      <c r="BW65" s="68"/>
      <c r="BX65" s="68"/>
      <c r="BY65" s="68"/>
      <c r="BZ65" s="68"/>
      <c r="CA65" s="68"/>
      <c r="CB65" s="68"/>
      <c r="CC65" s="68"/>
      <c r="CD65" s="68"/>
      <c r="CE65" s="68"/>
      <c r="CF65" s="68"/>
      <c r="CG65" s="68"/>
      <c r="CH65" s="68"/>
      <c r="CI65" s="68"/>
      <c r="CJ65" s="68"/>
      <c r="CK65" s="68"/>
      <c r="CL65" s="68"/>
      <c r="CM65" s="68"/>
      <c r="CN65" s="68"/>
      <c r="CO65" s="68"/>
      <c r="CP65" s="68"/>
      <c r="CQ65" s="68"/>
      <c r="CR65" s="68"/>
      <c r="CS65" s="68"/>
      <c r="CT65" s="68"/>
      <c r="CU65" s="68"/>
      <c r="CV65" s="68"/>
      <c r="CW65" s="68"/>
      <c r="CX65" s="66"/>
      <c r="CY65" s="56">
        <v>0</v>
      </c>
      <c r="CZ65" s="56">
        <v>0</v>
      </c>
      <c r="DA65" s="56">
        <v>0</v>
      </c>
      <c r="DB65" s="56">
        <v>99.92</v>
      </c>
      <c r="DC65" s="56">
        <v>99.12</v>
      </c>
      <c r="DD65" s="56">
        <v>99.87</v>
      </c>
      <c r="DE65" s="56">
        <v>102.45</v>
      </c>
      <c r="DF65" s="543">
        <v>104.52</v>
      </c>
      <c r="DG65" s="543">
        <v>106.11</v>
      </c>
      <c r="DH65" s="543">
        <v>107.06</v>
      </c>
      <c r="DI65" s="543">
        <v>103.3</v>
      </c>
      <c r="DJ65" s="543">
        <v>111.44</v>
      </c>
      <c r="DK65" s="543">
        <v>109.47</v>
      </c>
      <c r="DL65" s="57">
        <v>110.39</v>
      </c>
      <c r="DM65" s="68">
        <v>109.04</v>
      </c>
      <c r="DN65" s="68">
        <v>109.98436123966248</v>
      </c>
      <c r="DO65" s="68">
        <v>110.93690129582328</v>
      </c>
      <c r="DP65" s="68">
        <v>111.89769100264681</v>
      </c>
      <c r="DQ65" s="68">
        <v>112.86680180776996</v>
      </c>
      <c r="DR65" s="68">
        <v>113.8443057776152</v>
      </c>
      <c r="DS65" s="68">
        <v>114.83027560274968</v>
      </c>
      <c r="DT65" s="68">
        <v>115.82478460329074</v>
      </c>
      <c r="DU65" s="68">
        <v>116.82790673435827</v>
      </c>
      <c r="DV65" s="68">
        <v>117.83971659157424</v>
      </c>
      <c r="DW65" s="68">
        <v>118.86028941660996</v>
      </c>
      <c r="DX65" s="68">
        <v>119.88970110278119</v>
      </c>
      <c r="DY65" s="68">
        <v>120.92802820069193</v>
      </c>
      <c r="DZ65" s="68">
        <v>121.97534792392693</v>
      </c>
      <c r="EA65" s="68">
        <v>123.0317381547936</v>
      </c>
      <c r="EB65" s="68">
        <v>124.09727745011358</v>
      </c>
    </row>
    <row r="66" spans="1:132" s="553" customFormat="1" ht="11.25">
      <c r="A66" s="55" t="s">
        <v>471</v>
      </c>
      <c r="B66" s="66"/>
      <c r="C66" s="66">
        <v>100.4</v>
      </c>
      <c r="D66" s="66">
        <v>99.73</v>
      </c>
      <c r="E66" s="66">
        <v>100</v>
      </c>
      <c r="F66" s="66">
        <v>100.89</v>
      </c>
      <c r="G66" s="66">
        <v>100.96</v>
      </c>
      <c r="H66" s="66">
        <v>101.11</v>
      </c>
      <c r="I66" s="66">
        <v>102.13</v>
      </c>
      <c r="J66" s="66">
        <v>103.63</v>
      </c>
      <c r="K66" s="66">
        <v>107.29</v>
      </c>
      <c r="L66" s="66">
        <v>107.4</v>
      </c>
      <c r="M66" s="66">
        <v>107.29</v>
      </c>
      <c r="N66" s="66">
        <v>108.16</v>
      </c>
      <c r="O66" s="66">
        <v>107.94</v>
      </c>
      <c r="P66" s="66">
        <v>108.24</v>
      </c>
      <c r="Q66" s="66">
        <v>108.13</v>
      </c>
      <c r="R66" s="66">
        <v>109.54</v>
      </c>
      <c r="S66" s="66">
        <v>108.91</v>
      </c>
      <c r="T66" s="66">
        <v>109.06</v>
      </c>
      <c r="U66" s="66">
        <v>108.98</v>
      </c>
      <c r="V66" s="66">
        <v>109.99</v>
      </c>
      <c r="W66" s="66">
        <v>110.15</v>
      </c>
      <c r="X66" s="66">
        <v>110.91</v>
      </c>
      <c r="Y66" s="66">
        <v>109.5</v>
      </c>
      <c r="Z66" s="66">
        <v>109.1</v>
      </c>
      <c r="AA66" s="66">
        <v>109.24</v>
      </c>
      <c r="AB66" s="66">
        <v>108.41</v>
      </c>
      <c r="AC66" s="66">
        <v>110.61</v>
      </c>
      <c r="AD66" s="66">
        <v>110.32</v>
      </c>
      <c r="AE66" s="66">
        <v>110.24</v>
      </c>
      <c r="AF66" s="66">
        <v>109.51</v>
      </c>
      <c r="AG66" s="66">
        <v>109.58</v>
      </c>
      <c r="AH66" s="66">
        <v>110.92</v>
      </c>
      <c r="AI66" s="66">
        <v>111.26</v>
      </c>
      <c r="AJ66" s="66">
        <v>111.22</v>
      </c>
      <c r="AK66" s="66">
        <v>111.81</v>
      </c>
      <c r="AL66" s="66">
        <v>111.93</v>
      </c>
      <c r="AM66" s="66">
        <v>112.26</v>
      </c>
      <c r="AN66" s="66">
        <v>112.76</v>
      </c>
      <c r="AO66" s="66">
        <v>112.3</v>
      </c>
      <c r="AP66" s="66">
        <v>112.69</v>
      </c>
      <c r="AQ66" s="66">
        <v>112.85</v>
      </c>
      <c r="AR66" s="569">
        <v>111.99</v>
      </c>
      <c r="AS66" s="569">
        <v>112.29</v>
      </c>
      <c r="AT66" s="569">
        <v>112.09</v>
      </c>
      <c r="AU66" s="569">
        <v>112.59</v>
      </c>
      <c r="AV66" s="569">
        <v>111.56</v>
      </c>
      <c r="AW66" s="569">
        <v>112.2</v>
      </c>
      <c r="AX66" s="569">
        <v>114.08</v>
      </c>
      <c r="AY66" s="569">
        <v>115.51</v>
      </c>
      <c r="AZ66" s="569">
        <v>117.1</v>
      </c>
      <c r="BA66" s="569">
        <v>119.06</v>
      </c>
      <c r="BB66" s="569">
        <v>121.7</v>
      </c>
      <c r="BC66" s="569">
        <v>124.5</v>
      </c>
      <c r="BD66" s="569">
        <v>125.9</v>
      </c>
      <c r="BE66" s="569">
        <v>127.77</v>
      </c>
      <c r="BF66" s="569">
        <v>129.08000000000001</v>
      </c>
      <c r="BG66" s="569">
        <v>129.18</v>
      </c>
      <c r="BH66" s="569">
        <v>129.66999999999999</v>
      </c>
      <c r="BI66" s="569">
        <v>129.34</v>
      </c>
      <c r="BJ66" s="569">
        <v>130.08000000000001</v>
      </c>
      <c r="BK66" s="569">
        <v>131.09</v>
      </c>
      <c r="BL66" s="569">
        <v>130.41999999999999</v>
      </c>
      <c r="BM66" s="569">
        <v>129.71</v>
      </c>
      <c r="BN66" s="569">
        <v>130.26</v>
      </c>
      <c r="BO66" s="569">
        <v>130.86000000000001</v>
      </c>
      <c r="BP66" s="67">
        <v>130.88999999999999</v>
      </c>
      <c r="BQ66" s="68">
        <v>130.88999999999999</v>
      </c>
      <c r="BR66" s="68">
        <v>132.28064177948951</v>
      </c>
      <c r="BS66" s="68">
        <v>133.56488377547919</v>
      </c>
      <c r="BT66" s="68">
        <v>133.95339595582908</v>
      </c>
      <c r="BU66" s="68">
        <v>134.73940340856572</v>
      </c>
      <c r="BV66" s="68"/>
      <c r="BW66" s="68"/>
      <c r="BX66" s="68"/>
      <c r="BY66" s="68"/>
      <c r="BZ66" s="68"/>
      <c r="CA66" s="68"/>
      <c r="CB66" s="68"/>
      <c r="CC66" s="68"/>
      <c r="CD66" s="68"/>
      <c r="CE66" s="68"/>
      <c r="CF66" s="68"/>
      <c r="CG66" s="68"/>
      <c r="CH66" s="68"/>
      <c r="CI66" s="68"/>
      <c r="CJ66" s="68"/>
      <c r="CK66" s="68"/>
      <c r="CL66" s="68"/>
      <c r="CM66" s="68"/>
      <c r="CN66" s="68"/>
      <c r="CO66" s="68"/>
      <c r="CP66" s="68"/>
      <c r="CQ66" s="68"/>
      <c r="CR66" s="68"/>
      <c r="CS66" s="68"/>
      <c r="CT66" s="68"/>
      <c r="CU66" s="68"/>
      <c r="CV66" s="68"/>
      <c r="CW66" s="68"/>
      <c r="CX66" s="66"/>
      <c r="CY66" s="56">
        <v>107.29</v>
      </c>
      <c r="CZ66" s="56">
        <v>108.13</v>
      </c>
      <c r="DA66" s="56">
        <v>108.98</v>
      </c>
      <c r="DB66" s="56">
        <v>109.5</v>
      </c>
      <c r="DC66" s="56">
        <v>110.61</v>
      </c>
      <c r="DD66" s="56">
        <v>109.58</v>
      </c>
      <c r="DE66" s="56">
        <v>111.81</v>
      </c>
      <c r="DF66" s="543">
        <v>112.3</v>
      </c>
      <c r="DG66" s="543">
        <v>112.29</v>
      </c>
      <c r="DH66" s="543">
        <v>112.2</v>
      </c>
      <c r="DI66" s="543">
        <v>119.06</v>
      </c>
      <c r="DJ66" s="543">
        <v>127.77</v>
      </c>
      <c r="DK66" s="543">
        <v>129.34</v>
      </c>
      <c r="DL66" s="57">
        <v>129.71</v>
      </c>
      <c r="DM66" s="68">
        <v>130.88999999999999</v>
      </c>
      <c r="DN66" s="68">
        <v>134.73940340856572</v>
      </c>
      <c r="DO66" s="68">
        <v>138.70201566885333</v>
      </c>
      <c r="DP66" s="68">
        <v>142.78116619135787</v>
      </c>
      <c r="DQ66" s="68">
        <v>146.98028230271856</v>
      </c>
      <c r="DR66" s="68">
        <v>151.30289212537909</v>
      </c>
      <c r="DS66" s="68">
        <v>155.75262754193716</v>
      </c>
      <c r="DT66" s="68">
        <v>160.33322724667397</v>
      </c>
      <c r="DU66" s="68">
        <v>165.04853988682746</v>
      </c>
      <c r="DV66" s="68">
        <v>169.90252729624871</v>
      </c>
      <c r="DW66" s="68">
        <v>174.89926782415847</v>
      </c>
      <c r="DX66" s="68">
        <v>180.04295976180049</v>
      </c>
      <c r="DY66" s="68">
        <v>185.3379248698709</v>
      </c>
      <c r="DZ66" s="68">
        <v>190.78861200968737</v>
      </c>
      <c r="EA66" s="68">
        <v>196.39960088114901</v>
      </c>
      <c r="EB66" s="68">
        <v>202.17560587062752</v>
      </c>
    </row>
    <row r="67" spans="1:132" s="571" customFormat="1" ht="11.25">
      <c r="A67" s="55" t="s">
        <v>472</v>
      </c>
      <c r="B67" s="66"/>
      <c r="C67" s="66">
        <v>180.95</v>
      </c>
      <c r="D67" s="66">
        <v>182.78</v>
      </c>
      <c r="E67" s="66">
        <v>182.44</v>
      </c>
      <c r="F67" s="66">
        <v>55.35</v>
      </c>
      <c r="G67" s="66">
        <v>55.52</v>
      </c>
      <c r="H67" s="66">
        <v>55.91</v>
      </c>
      <c r="I67" s="66">
        <v>56.69</v>
      </c>
      <c r="J67" s="66">
        <v>58.05</v>
      </c>
      <c r="K67" s="66">
        <v>59.09</v>
      </c>
      <c r="L67" s="66">
        <v>59.97</v>
      </c>
      <c r="M67" s="66">
        <v>60.2</v>
      </c>
      <c r="N67" s="66">
        <v>60.76</v>
      </c>
      <c r="O67" s="66">
        <v>61.14</v>
      </c>
      <c r="P67" s="66">
        <v>61.93</v>
      </c>
      <c r="Q67" s="66">
        <v>62.28</v>
      </c>
      <c r="R67" s="66">
        <v>63.39</v>
      </c>
      <c r="S67" s="66">
        <v>64.069999999999993</v>
      </c>
      <c r="T67" s="66">
        <v>64.540000000000006</v>
      </c>
      <c r="U67" s="66">
        <v>65.010000000000005</v>
      </c>
      <c r="V67" s="66">
        <v>65.45</v>
      </c>
      <c r="W67" s="66">
        <v>66.08</v>
      </c>
      <c r="X67" s="66">
        <v>66.77</v>
      </c>
      <c r="Y67" s="66">
        <v>66.930000000000007</v>
      </c>
      <c r="Z67" s="66">
        <v>67.040000000000006</v>
      </c>
      <c r="AA67" s="66">
        <v>67.650000000000006</v>
      </c>
      <c r="AB67" s="66">
        <v>68.02</v>
      </c>
      <c r="AC67" s="66">
        <v>68.98</v>
      </c>
      <c r="AD67" s="66">
        <v>69.900000000000006</v>
      </c>
      <c r="AE67" s="66">
        <v>70.650000000000006</v>
      </c>
      <c r="AF67" s="66">
        <v>71.12</v>
      </c>
      <c r="AG67" s="66">
        <v>71.900000000000006</v>
      </c>
      <c r="AH67" s="66">
        <v>72.69</v>
      </c>
      <c r="AI67" s="66">
        <v>73.73</v>
      </c>
      <c r="AJ67" s="66">
        <v>74.22</v>
      </c>
      <c r="AK67" s="66">
        <v>75.98</v>
      </c>
      <c r="AL67" s="66">
        <v>75.7</v>
      </c>
      <c r="AM67" s="66">
        <v>76.53</v>
      </c>
      <c r="AN67" s="66">
        <v>77.599999999999994</v>
      </c>
      <c r="AO67" s="66">
        <v>77.739999999999995</v>
      </c>
      <c r="AP67" s="66">
        <v>78.86</v>
      </c>
      <c r="AQ67" s="66">
        <v>80.2</v>
      </c>
      <c r="AR67" s="569">
        <v>79</v>
      </c>
      <c r="AS67" s="569">
        <v>80.38</v>
      </c>
      <c r="AT67" s="569">
        <v>80.25</v>
      </c>
      <c r="AU67" s="569">
        <v>82.12</v>
      </c>
      <c r="AV67" s="569">
        <v>82.92</v>
      </c>
      <c r="AW67" s="569">
        <v>84.26</v>
      </c>
      <c r="AX67" s="569">
        <v>84.94</v>
      </c>
      <c r="AY67" s="569">
        <v>85.33</v>
      </c>
      <c r="AZ67" s="569">
        <v>85.97</v>
      </c>
      <c r="BA67" s="569">
        <v>86.85</v>
      </c>
      <c r="BB67" s="569">
        <v>88.48</v>
      </c>
      <c r="BC67" s="569">
        <v>91.77</v>
      </c>
      <c r="BD67" s="569">
        <v>93.73</v>
      </c>
      <c r="BE67" s="569">
        <v>94.87</v>
      </c>
      <c r="BF67" s="569">
        <v>96.19</v>
      </c>
      <c r="BG67" s="569">
        <v>96.3</v>
      </c>
      <c r="BH67" s="569">
        <v>98.13</v>
      </c>
      <c r="BI67" s="569">
        <v>98.83</v>
      </c>
      <c r="BJ67" s="569">
        <v>99.3</v>
      </c>
      <c r="BK67" s="569">
        <v>99.78</v>
      </c>
      <c r="BL67" s="569">
        <v>100.2</v>
      </c>
      <c r="BM67" s="569">
        <v>100.51</v>
      </c>
      <c r="BN67" s="569">
        <v>100.86</v>
      </c>
      <c r="BO67" s="569">
        <v>101.56</v>
      </c>
      <c r="BP67" s="67">
        <v>101.67</v>
      </c>
      <c r="BQ67" s="68">
        <v>102.17</v>
      </c>
      <c r="BR67" s="68">
        <v>103.06685540204691</v>
      </c>
      <c r="BS67" s="68">
        <v>104.53153040786871</v>
      </c>
      <c r="BT67" s="68">
        <v>105.82379626792557</v>
      </c>
      <c r="BU67" s="68">
        <v>106.85634200736007</v>
      </c>
      <c r="BV67" s="68"/>
      <c r="BW67" s="68"/>
      <c r="BX67" s="68"/>
      <c r="BY67" s="68"/>
      <c r="BZ67" s="68"/>
      <c r="CA67" s="68"/>
      <c r="CB67" s="68"/>
      <c r="CC67" s="68"/>
      <c r="CD67" s="68"/>
      <c r="CE67" s="68"/>
      <c r="CF67" s="68"/>
      <c r="CG67" s="68"/>
      <c r="CH67" s="68"/>
      <c r="CI67" s="68"/>
      <c r="CJ67" s="68"/>
      <c r="CK67" s="68"/>
      <c r="CL67" s="68"/>
      <c r="CM67" s="68"/>
      <c r="CN67" s="68"/>
      <c r="CO67" s="68"/>
      <c r="CP67" s="68"/>
      <c r="CQ67" s="68"/>
      <c r="CR67" s="68"/>
      <c r="CS67" s="68"/>
      <c r="CT67" s="68"/>
      <c r="CU67" s="68"/>
      <c r="CV67" s="68"/>
      <c r="CW67" s="68"/>
      <c r="CX67" s="66"/>
      <c r="CY67" s="56">
        <v>60.2</v>
      </c>
      <c r="CZ67" s="56">
        <v>62.28</v>
      </c>
      <c r="DA67" s="56">
        <v>65.010000000000005</v>
      </c>
      <c r="DB67" s="56">
        <v>66.930000000000007</v>
      </c>
      <c r="DC67" s="56">
        <v>68.98</v>
      </c>
      <c r="DD67" s="56">
        <v>71.900000000000006</v>
      </c>
      <c r="DE67" s="56">
        <v>75.98</v>
      </c>
      <c r="DF67" s="543">
        <v>77.739999999999995</v>
      </c>
      <c r="DG67" s="543">
        <v>80.38</v>
      </c>
      <c r="DH67" s="543">
        <v>84.26</v>
      </c>
      <c r="DI67" s="543">
        <v>86.85</v>
      </c>
      <c r="DJ67" s="543">
        <v>94.87</v>
      </c>
      <c r="DK67" s="543">
        <v>98.83</v>
      </c>
      <c r="DL67" s="57">
        <v>100.51</v>
      </c>
      <c r="DM67" s="68">
        <v>102.17</v>
      </c>
      <c r="DN67" s="68">
        <v>106.85634200736007</v>
      </c>
      <c r="DO67" s="68">
        <v>111.75763753737793</v>
      </c>
      <c r="DP67" s="68">
        <v>116.88374609600311</v>
      </c>
      <c r="DQ67" s="68">
        <v>122.24497942581917</v>
      </c>
      <c r="DR67" s="68">
        <v>127.85212224927109</v>
      </c>
      <c r="DS67" s="68">
        <v>133.71645396334463</v>
      </c>
      <c r="DT67" s="68">
        <v>139.84977132933906</v>
      </c>
      <c r="DU67" s="68">
        <v>146.26441220337625</v>
      </c>
      <c r="DV67" s="68">
        <v>152.9732803553828</v>
      </c>
      <c r="DW67" s="68">
        <v>159.98987142647115</v>
      </c>
      <c r="DX67" s="68">
        <v>167.32830007693613</v>
      </c>
      <c r="DY67" s="68">
        <v>175.00332837947792</v>
      </c>
      <c r="DZ67" s="68">
        <v>183.03039551476786</v>
      </c>
      <c r="EA67" s="68">
        <v>191.42564882909284</v>
      </c>
      <c r="EB67" s="68">
        <v>200.20597631655426</v>
      </c>
    </row>
    <row r="68" spans="1:132" s="553" customFormat="1" ht="11.25">
      <c r="A68" s="55" t="s">
        <v>473</v>
      </c>
      <c r="B68" s="66"/>
      <c r="C68" s="66">
        <v>210</v>
      </c>
      <c r="D68" s="66">
        <v>211.9</v>
      </c>
      <c r="E68" s="66">
        <v>212.8</v>
      </c>
      <c r="F68" s="66">
        <v>216.5</v>
      </c>
      <c r="G68" s="66">
        <v>218.9</v>
      </c>
      <c r="H68" s="66">
        <v>222.6</v>
      </c>
      <c r="I68" s="66">
        <v>226.6</v>
      </c>
      <c r="J68" s="66">
        <v>230.8</v>
      </c>
      <c r="K68" s="66">
        <v>235.8</v>
      </c>
      <c r="L68" s="66">
        <v>237.8</v>
      </c>
      <c r="M68" s="66">
        <v>239.3</v>
      </c>
      <c r="N68" s="66">
        <v>243.9</v>
      </c>
      <c r="O68" s="66">
        <v>246.9</v>
      </c>
      <c r="P68" s="66">
        <v>250.4</v>
      </c>
      <c r="Q68" s="66">
        <v>252.2</v>
      </c>
      <c r="R68" s="66">
        <v>257.5</v>
      </c>
      <c r="S68" s="66">
        <v>259.89999999999998</v>
      </c>
      <c r="T68" s="66">
        <v>262.8</v>
      </c>
      <c r="U68" s="66">
        <v>264.60000000000002</v>
      </c>
      <c r="V68" s="66">
        <v>272.39999999999998</v>
      </c>
      <c r="W68" s="66">
        <v>276.10000000000002</v>
      </c>
      <c r="X68" s="66">
        <v>278.89999999999998</v>
      </c>
      <c r="Y68" s="66">
        <v>280</v>
      </c>
      <c r="Z68" s="66">
        <v>282.60000000000002</v>
      </c>
      <c r="AA68" s="66">
        <v>286.10000000000002</v>
      </c>
      <c r="AB68" s="66">
        <v>286.60000000000002</v>
      </c>
      <c r="AC68" s="66">
        <v>286.60000000000002</v>
      </c>
      <c r="AD68" s="66">
        <v>289.60000000000002</v>
      </c>
      <c r="AE68" s="66">
        <v>293.10000000000002</v>
      </c>
      <c r="AF68" s="66">
        <v>294.89999999999998</v>
      </c>
      <c r="AG68" s="66">
        <v>296.10000000000002</v>
      </c>
      <c r="AH68" s="66">
        <v>301</v>
      </c>
      <c r="AI68" s="66">
        <v>303.8</v>
      </c>
      <c r="AJ68" s="66">
        <v>305.7</v>
      </c>
      <c r="AK68" s="66">
        <v>310.10000000000002</v>
      </c>
      <c r="AL68" s="66">
        <v>314.10000000000002</v>
      </c>
      <c r="AM68" s="66">
        <v>316.39999999999998</v>
      </c>
      <c r="AN68" s="66">
        <v>319.10000000000002</v>
      </c>
      <c r="AO68" s="66">
        <v>323.2</v>
      </c>
      <c r="AP68" s="66">
        <v>327.10000000000002</v>
      </c>
      <c r="AQ68" s="66">
        <v>331.6</v>
      </c>
      <c r="AR68" s="569">
        <v>333.2</v>
      </c>
      <c r="AS68" s="569">
        <v>336.4</v>
      </c>
      <c r="AT68" s="569">
        <v>339.8</v>
      </c>
      <c r="AU68" s="569">
        <v>340.4</v>
      </c>
      <c r="AV68" s="569">
        <v>344.5</v>
      </c>
      <c r="AW68" s="569">
        <v>349.9</v>
      </c>
      <c r="AX68" s="569">
        <v>353.2</v>
      </c>
      <c r="AY68" s="569">
        <v>356.3</v>
      </c>
      <c r="AZ68" s="569">
        <v>360.4</v>
      </c>
      <c r="BA68" s="569">
        <v>368.5</v>
      </c>
      <c r="BB68" s="569">
        <v>377.8</v>
      </c>
      <c r="BC68" s="569">
        <v>392.7</v>
      </c>
      <c r="BD68" s="569">
        <v>396.6</v>
      </c>
      <c r="BE68" s="569">
        <v>404.6</v>
      </c>
      <c r="BF68" s="569">
        <v>412</v>
      </c>
      <c r="BG68" s="569">
        <v>414.7</v>
      </c>
      <c r="BH68" s="569">
        <v>420.9</v>
      </c>
      <c r="BI68" s="569">
        <v>425.6</v>
      </c>
      <c r="BJ68" s="569">
        <v>431.6</v>
      </c>
      <c r="BK68" s="569">
        <v>434.9</v>
      </c>
      <c r="BL68" s="569">
        <v>439.8</v>
      </c>
      <c r="BM68" s="569">
        <v>442.1</v>
      </c>
      <c r="BN68" s="569">
        <v>451</v>
      </c>
      <c r="BO68" s="569">
        <v>455.2</v>
      </c>
      <c r="BP68" s="67">
        <v>459.8</v>
      </c>
      <c r="BQ68" s="68">
        <v>464.1</v>
      </c>
      <c r="BR68" s="68">
        <v>471.26228300950788</v>
      </c>
      <c r="BS68" s="68">
        <v>477.3114871633187</v>
      </c>
      <c r="BT68" s="68">
        <v>483.01064169397495</v>
      </c>
      <c r="BU68" s="68">
        <v>490.22851836627814</v>
      </c>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6"/>
      <c r="CY68" s="56">
        <v>239.3</v>
      </c>
      <c r="CZ68" s="56">
        <v>252.2</v>
      </c>
      <c r="DA68" s="56">
        <v>264.60000000000002</v>
      </c>
      <c r="DB68" s="56">
        <v>280</v>
      </c>
      <c r="DC68" s="56">
        <v>286.60000000000002</v>
      </c>
      <c r="DD68" s="56">
        <v>296.10000000000002</v>
      </c>
      <c r="DE68" s="56">
        <v>310.10000000000002</v>
      </c>
      <c r="DF68" s="543">
        <v>323.2</v>
      </c>
      <c r="DG68" s="543">
        <v>336.4</v>
      </c>
      <c r="DH68" s="543">
        <v>349.9</v>
      </c>
      <c r="DI68" s="543">
        <v>368.5</v>
      </c>
      <c r="DJ68" s="543">
        <v>404.6</v>
      </c>
      <c r="DK68" s="543">
        <v>425.6</v>
      </c>
      <c r="DL68" s="57">
        <v>442.1</v>
      </c>
      <c r="DM68" s="68">
        <v>464.1</v>
      </c>
      <c r="DN68" s="68">
        <v>490.22851836627814</v>
      </c>
      <c r="DO68" s="68">
        <v>517.82805477180841</v>
      </c>
      <c r="DP68" s="68">
        <v>546.981426544442</v>
      </c>
      <c r="DQ68" s="68">
        <v>577.77611357197804</v>
      </c>
      <c r="DR68" s="68">
        <v>610.30452080115754</v>
      </c>
      <c r="DS68" s="68">
        <v>644.66425551517523</v>
      </c>
      <c r="DT68" s="68">
        <v>680.95842022172826</v>
      </c>
      <c r="DU68" s="68">
        <v>719.29592203046593</v>
      </c>
      <c r="DV68" s="68">
        <v>759.79179944818191</v>
      </c>
      <c r="DW68" s="68">
        <v>802.56756757235621</v>
      </c>
      <c r="DX68" s="68">
        <v>847.75158271886221</v>
      </c>
      <c r="DY68" s="68">
        <v>895.47942757796829</v>
      </c>
      <c r="DZ68" s="68">
        <v>945.89431805436379</v>
      </c>
      <c r="EA68" s="68">
        <v>999.14753301200562</v>
      </c>
      <c r="EB68" s="68">
        <v>1055.3988682133106</v>
      </c>
    </row>
    <row r="69" spans="1:132" s="553" customFormat="1" ht="11.25">
      <c r="A69" s="55" t="s">
        <v>474</v>
      </c>
      <c r="B69" s="66"/>
      <c r="C69" s="66">
        <v>108.87</v>
      </c>
      <c r="D69" s="66">
        <v>105.71</v>
      </c>
      <c r="E69" s="66">
        <v>102.18</v>
      </c>
      <c r="F69" s="66">
        <v>100.83</v>
      </c>
      <c r="G69" s="66">
        <v>101.1</v>
      </c>
      <c r="H69" s="66">
        <v>100.27</v>
      </c>
      <c r="I69" s="66">
        <v>97.8</v>
      </c>
      <c r="J69" s="66">
        <v>96.23</v>
      </c>
      <c r="K69" s="66">
        <v>94.3</v>
      </c>
      <c r="L69" s="66">
        <v>95.27</v>
      </c>
      <c r="M69" s="66">
        <v>97.75</v>
      </c>
      <c r="N69" s="66">
        <v>97.36</v>
      </c>
      <c r="O69" s="66">
        <v>98.24</v>
      </c>
      <c r="P69" s="66">
        <v>97.35</v>
      </c>
      <c r="Q69" s="66">
        <v>96.77</v>
      </c>
      <c r="R69" s="66">
        <v>97.3</v>
      </c>
      <c r="S69" s="66">
        <v>97.59</v>
      </c>
      <c r="T69" s="66">
        <v>97.6</v>
      </c>
      <c r="U69" s="66">
        <v>96.49</v>
      </c>
      <c r="V69" s="66">
        <v>96.63</v>
      </c>
      <c r="W69" s="66">
        <v>96.07</v>
      </c>
      <c r="X69" s="66">
        <v>97.32</v>
      </c>
      <c r="Y69" s="66">
        <v>99.36</v>
      </c>
      <c r="Z69" s="66">
        <v>101.74</v>
      </c>
      <c r="AA69" s="66">
        <v>101.44</v>
      </c>
      <c r="AB69" s="66">
        <v>102.34</v>
      </c>
      <c r="AC69" s="66">
        <v>102.8</v>
      </c>
      <c r="AD69" s="66">
        <v>103.77</v>
      </c>
      <c r="AE69" s="66">
        <v>102.01</v>
      </c>
      <c r="AF69" s="66">
        <v>101.49</v>
      </c>
      <c r="AG69" s="66">
        <v>101.77</v>
      </c>
      <c r="AH69" s="66">
        <v>101.46</v>
      </c>
      <c r="AI69" s="66">
        <v>98.92</v>
      </c>
      <c r="AJ69" s="66">
        <v>96.64</v>
      </c>
      <c r="AK69" s="66">
        <v>97.11</v>
      </c>
      <c r="AL69" s="66">
        <v>95.03</v>
      </c>
      <c r="AM69" s="66">
        <v>95.52</v>
      </c>
      <c r="AN69" s="66">
        <v>96.21</v>
      </c>
      <c r="AO69" s="66">
        <v>96.99</v>
      </c>
      <c r="AP69" s="66">
        <v>95.41</v>
      </c>
      <c r="AQ69" s="66">
        <v>96.33</v>
      </c>
      <c r="AR69" s="569">
        <v>96.5</v>
      </c>
      <c r="AS69" s="569">
        <v>95.82</v>
      </c>
      <c r="AT69" s="569">
        <v>95.63</v>
      </c>
      <c r="AU69" s="569">
        <v>98.3</v>
      </c>
      <c r="AV69" s="569">
        <v>96.03</v>
      </c>
      <c r="AW69" s="569">
        <v>93.91</v>
      </c>
      <c r="AX69" s="569">
        <v>93.22</v>
      </c>
      <c r="AY69" s="569">
        <v>92.12</v>
      </c>
      <c r="AZ69" s="569">
        <v>92.76</v>
      </c>
      <c r="BA69" s="569">
        <v>94.01</v>
      </c>
      <c r="BB69" s="569">
        <v>94.52</v>
      </c>
      <c r="BC69" s="569">
        <v>95.68</v>
      </c>
      <c r="BD69" s="569">
        <v>98.55</v>
      </c>
      <c r="BE69" s="569">
        <v>99.85</v>
      </c>
      <c r="BF69" s="569">
        <v>98.08</v>
      </c>
      <c r="BG69" s="569">
        <v>98.45</v>
      </c>
      <c r="BH69" s="569">
        <v>98.91</v>
      </c>
      <c r="BI69" s="569">
        <v>99.47</v>
      </c>
      <c r="BJ69" s="569">
        <v>99.47</v>
      </c>
      <c r="BK69" s="569">
        <v>100.99</v>
      </c>
      <c r="BL69" s="569">
        <v>101.41</v>
      </c>
      <c r="BM69" s="569">
        <v>101.99</v>
      </c>
      <c r="BN69" s="569">
        <v>102.85</v>
      </c>
      <c r="BO69" s="569">
        <v>100.57</v>
      </c>
      <c r="BP69" s="67">
        <v>99.78</v>
      </c>
      <c r="BQ69" s="68">
        <v>99.78</v>
      </c>
      <c r="BR69" s="68">
        <v>100.7778</v>
      </c>
      <c r="BS69" s="68">
        <v>101.785578</v>
      </c>
      <c r="BT69" s="68">
        <v>102.80343378000001</v>
      </c>
      <c r="BU69" s="68">
        <v>103.8314681178</v>
      </c>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6"/>
      <c r="CY69" s="56">
        <v>97.75</v>
      </c>
      <c r="CZ69" s="56">
        <v>96.77</v>
      </c>
      <c r="DA69" s="56">
        <v>96.49</v>
      </c>
      <c r="DB69" s="56">
        <v>99.36</v>
      </c>
      <c r="DC69" s="56">
        <v>102.8</v>
      </c>
      <c r="DD69" s="56">
        <v>101.77</v>
      </c>
      <c r="DE69" s="56">
        <v>97.11</v>
      </c>
      <c r="DF69" s="543">
        <v>96.99</v>
      </c>
      <c r="DG69" s="543">
        <v>95.82</v>
      </c>
      <c r="DH69" s="543">
        <v>93.91</v>
      </c>
      <c r="DI69" s="543">
        <v>94.01</v>
      </c>
      <c r="DJ69" s="543">
        <v>99.85</v>
      </c>
      <c r="DK69" s="543">
        <v>99.47</v>
      </c>
      <c r="DL69" s="57">
        <v>101.99</v>
      </c>
      <c r="DM69" s="68">
        <v>99.78</v>
      </c>
      <c r="DN69" s="68">
        <v>103.8314681178</v>
      </c>
      <c r="DO69" s="68">
        <v>108.04744208756983</v>
      </c>
      <c r="DP69" s="68">
        <v>112.43460150656794</v>
      </c>
      <c r="DQ69" s="68">
        <v>116.99989719048665</v>
      </c>
      <c r="DR69" s="68">
        <v>121.75056218600814</v>
      </c>
      <c r="DS69" s="68">
        <v>126.69412323051444</v>
      </c>
      <c r="DT69" s="68">
        <v>131.83841267710747</v>
      </c>
      <c r="DU69" s="68">
        <v>137.19158090383289</v>
      </c>
      <c r="DV69" s="68">
        <v>142.76210922676793</v>
      </c>
      <c r="DW69" s="68">
        <v>148.55882333743273</v>
      </c>
      <c r="DX69" s="68">
        <v>154.59090728581407</v>
      </c>
      <c r="DY69" s="68">
        <v>160.86791803115634</v>
      </c>
      <c r="DZ69" s="68">
        <v>167.39980058357258</v>
      </c>
      <c r="EA69" s="68">
        <v>174.19690376046597</v>
      </c>
      <c r="EB69" s="68">
        <v>181.26999658272499</v>
      </c>
    </row>
    <row r="70" spans="1:132" s="553" customFormat="1" ht="11.25">
      <c r="A70" s="43" t="s">
        <v>475</v>
      </c>
      <c r="B70" s="66">
        <v>20959.77</v>
      </c>
      <c r="C70" s="66">
        <v>20933.02</v>
      </c>
      <c r="D70" s="66">
        <v>20834.45</v>
      </c>
      <c r="E70" s="66">
        <v>20942.88</v>
      </c>
      <c r="F70" s="66">
        <v>20998.52</v>
      </c>
      <c r="G70" s="66">
        <v>21202.16</v>
      </c>
      <c r="H70" s="66">
        <v>21339.99</v>
      </c>
      <c r="I70" s="66">
        <v>21455.55</v>
      </c>
      <c r="J70" s="66">
        <v>21578.26</v>
      </c>
      <c r="K70" s="66">
        <v>21889.88</v>
      </c>
      <c r="L70" s="66">
        <v>22012.69</v>
      </c>
      <c r="M70" s="66">
        <v>22294.03</v>
      </c>
      <c r="N70" s="66">
        <v>22533.51</v>
      </c>
      <c r="O70" s="66">
        <v>22627.360000000001</v>
      </c>
      <c r="P70" s="66">
        <v>22591.05</v>
      </c>
      <c r="Q70" s="66">
        <v>22840.75</v>
      </c>
      <c r="R70" s="66">
        <v>22869.38</v>
      </c>
      <c r="S70" s="66">
        <v>22852.67</v>
      </c>
      <c r="T70" s="66">
        <v>23091.03</v>
      </c>
      <c r="U70" s="66">
        <v>23309.56</v>
      </c>
      <c r="V70" s="66">
        <v>23606.97</v>
      </c>
      <c r="W70" s="66">
        <v>24023.61</v>
      </c>
      <c r="X70" s="66">
        <v>24168.02</v>
      </c>
      <c r="Y70" s="66">
        <v>24627.1</v>
      </c>
      <c r="Z70" s="66">
        <v>24622.78</v>
      </c>
      <c r="AA70" s="66">
        <v>24982.959999999999</v>
      </c>
      <c r="AB70" s="66">
        <v>25346.89</v>
      </c>
      <c r="AC70" s="66">
        <v>25629.09</v>
      </c>
      <c r="AD70" s="66">
        <v>25812.05</v>
      </c>
      <c r="AE70" s="66">
        <v>26052.07</v>
      </c>
      <c r="AF70" s="66">
        <v>26224.3</v>
      </c>
      <c r="AG70" s="66">
        <v>26347.98</v>
      </c>
      <c r="AH70" s="66">
        <v>26471.94</v>
      </c>
      <c r="AI70" s="66">
        <v>26665.09</v>
      </c>
      <c r="AJ70" s="66">
        <v>26656.79</v>
      </c>
      <c r="AK70" s="66">
        <v>26798.14</v>
      </c>
      <c r="AL70" s="66">
        <v>26966.89</v>
      </c>
      <c r="AM70" s="66">
        <v>27158.77</v>
      </c>
      <c r="AN70" s="66">
        <v>27357.45</v>
      </c>
      <c r="AO70" s="66">
        <v>27565.79</v>
      </c>
      <c r="AP70" s="66">
        <v>27565.759999999998</v>
      </c>
      <c r="AQ70" s="66">
        <v>27903.3</v>
      </c>
      <c r="AR70" s="66">
        <v>28048.53</v>
      </c>
      <c r="AS70" s="569">
        <v>28309.94</v>
      </c>
      <c r="AT70" s="569">
        <v>28597.46</v>
      </c>
      <c r="AU70" s="569">
        <v>28696.42</v>
      </c>
      <c r="AV70" s="569">
        <v>28707.85</v>
      </c>
      <c r="AW70" s="569">
        <v>29070.33</v>
      </c>
      <c r="AX70" s="569">
        <v>29394.77</v>
      </c>
      <c r="AY70" s="569">
        <v>29709.83</v>
      </c>
      <c r="AZ70" s="569">
        <v>30088.37</v>
      </c>
      <c r="BA70" s="569">
        <v>30991.74</v>
      </c>
      <c r="BB70" s="569">
        <v>31727.74</v>
      </c>
      <c r="BC70" s="569">
        <v>33086.83</v>
      </c>
      <c r="BD70" s="569">
        <v>34258.230000000003</v>
      </c>
      <c r="BE70" s="569">
        <v>35110.980000000003</v>
      </c>
      <c r="BF70" s="569">
        <v>35575.480000000003</v>
      </c>
      <c r="BG70" s="569">
        <v>36089.480000000003</v>
      </c>
      <c r="BH70" s="569">
        <v>36197.53</v>
      </c>
      <c r="BI70" s="569">
        <v>36789.360000000001</v>
      </c>
      <c r="BJ70" s="569">
        <v>37093.519999999997</v>
      </c>
      <c r="BK70" s="569">
        <v>37571.86</v>
      </c>
      <c r="BL70" s="569">
        <v>37910.42</v>
      </c>
      <c r="BM70" s="569">
        <v>38416.69</v>
      </c>
      <c r="BN70" s="569">
        <v>38894.11</v>
      </c>
      <c r="BO70" s="569">
        <v>39267.07</v>
      </c>
      <c r="BP70" s="67">
        <v>39485.65</v>
      </c>
      <c r="BQ70" s="572">
        <v>39727.96</v>
      </c>
      <c r="BR70" s="572">
        <v>40015.397522853076</v>
      </c>
      <c r="BS70" s="572">
        <v>40282.777082185603</v>
      </c>
      <c r="BT70" s="572">
        <v>40564.744144945478</v>
      </c>
      <c r="BU70" s="572">
        <v>40826.579887225613</v>
      </c>
      <c r="BV70" s="572"/>
      <c r="BW70" s="572"/>
      <c r="BX70" s="572"/>
      <c r="BY70" s="572"/>
      <c r="BZ70" s="572"/>
      <c r="CA70" s="572"/>
      <c r="CB70" s="572"/>
      <c r="CC70" s="572"/>
      <c r="CD70" s="572"/>
      <c r="CE70" s="572"/>
      <c r="CF70" s="572"/>
      <c r="CG70" s="572"/>
      <c r="CH70" s="572"/>
      <c r="CI70" s="572"/>
      <c r="CJ70" s="572"/>
      <c r="CK70" s="572"/>
      <c r="CL70" s="572"/>
      <c r="CM70" s="572"/>
      <c r="CN70" s="572"/>
      <c r="CO70" s="572"/>
      <c r="CP70" s="572"/>
      <c r="CQ70" s="572"/>
      <c r="CR70" s="572"/>
      <c r="CS70" s="572"/>
      <c r="CT70" s="572"/>
      <c r="CU70" s="572"/>
      <c r="CV70" s="68"/>
      <c r="CW70" s="68"/>
      <c r="CX70" s="66"/>
      <c r="CY70" s="56">
        <v>22294.03</v>
      </c>
      <c r="CZ70" s="56">
        <v>22840.75</v>
      </c>
      <c r="DA70" s="56">
        <v>23309.56</v>
      </c>
      <c r="DB70" s="56">
        <v>24627.1</v>
      </c>
      <c r="DC70" s="56">
        <v>25629.09</v>
      </c>
      <c r="DD70" s="56">
        <v>26347.98</v>
      </c>
      <c r="DE70" s="56">
        <v>26798.14</v>
      </c>
      <c r="DF70" s="543">
        <v>27565.79</v>
      </c>
      <c r="DG70" s="543">
        <v>28309.94</v>
      </c>
      <c r="DH70" s="543">
        <v>29070.33</v>
      </c>
      <c r="DI70" s="543">
        <v>30991.74</v>
      </c>
      <c r="DJ70" s="543">
        <v>35110.980000000003</v>
      </c>
      <c r="DK70" s="543">
        <v>36789.360000000001</v>
      </c>
      <c r="DL70" s="57">
        <v>38416.69</v>
      </c>
      <c r="DM70" s="68">
        <v>39727.96</v>
      </c>
      <c r="DN70" s="68">
        <v>40826.579887225613</v>
      </c>
      <c r="DO70" s="68">
        <v>42051.377283842376</v>
      </c>
      <c r="DP70" s="68">
        <v>43312.918602357648</v>
      </c>
      <c r="DQ70" s="68">
        <v>44612.306160428379</v>
      </c>
      <c r="DR70" s="68">
        <v>45950.67534524123</v>
      </c>
      <c r="DS70" s="68">
        <v>47329.19560559847</v>
      </c>
      <c r="DT70" s="68">
        <v>48749.071473766424</v>
      </c>
      <c r="DU70" s="68">
        <v>50211.54361797942</v>
      </c>
      <c r="DV70" s="68">
        <v>51717.889926518801</v>
      </c>
      <c r="DW70" s="68">
        <v>53269.426624314365</v>
      </c>
      <c r="DX70" s="68">
        <v>54867.509423043797</v>
      </c>
      <c r="DY70" s="68">
        <v>56513.53470573511</v>
      </c>
      <c r="DZ70" s="68">
        <v>58208.940746907167</v>
      </c>
      <c r="EA70" s="68">
        <v>59955.208969314386</v>
      </c>
      <c r="EB70" s="68">
        <v>61753.865238393817</v>
      </c>
    </row>
    <row r="71" spans="1:132" s="553" customFormat="1" ht="11.25">
      <c r="A71" s="38"/>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569"/>
      <c r="AT71" s="66"/>
      <c r="AU71" s="573"/>
      <c r="AV71" s="573"/>
      <c r="AW71" s="573"/>
      <c r="AX71" s="573"/>
      <c r="AY71" s="573"/>
      <c r="AZ71" s="573"/>
      <c r="BA71" s="573"/>
      <c r="BB71" s="573"/>
      <c r="BC71" s="573"/>
      <c r="BD71" s="573"/>
      <c r="BE71" s="573"/>
      <c r="BF71" s="573"/>
      <c r="BG71" s="573"/>
      <c r="BH71" s="573"/>
      <c r="BI71" s="573"/>
      <c r="BJ71" s="573"/>
      <c r="BK71" s="573"/>
      <c r="BL71" s="573"/>
      <c r="BM71" s="573"/>
      <c r="BN71" s="573"/>
      <c r="BO71" s="573"/>
      <c r="BP71" s="624"/>
      <c r="BQ71" s="68"/>
      <c r="BR71" s="68"/>
      <c r="BS71" s="68"/>
      <c r="BT71" s="68"/>
      <c r="BU71" s="68"/>
      <c r="BV71" s="68"/>
      <c r="BW71" s="68"/>
      <c r="BX71" s="68"/>
      <c r="BY71" s="68"/>
      <c r="BZ71" s="68"/>
      <c r="CA71" s="68"/>
      <c r="CB71" s="68"/>
      <c r="CC71" s="68"/>
      <c r="CD71" s="68"/>
      <c r="CE71" s="68"/>
      <c r="CF71" s="68"/>
      <c r="CG71" s="68"/>
      <c r="CH71" s="68"/>
      <c r="CI71" s="68"/>
      <c r="CJ71" s="68"/>
      <c r="CK71" s="68"/>
      <c r="CL71" s="68"/>
      <c r="CM71" s="68"/>
      <c r="CN71" s="68"/>
      <c r="CO71" s="68"/>
      <c r="CP71" s="68"/>
      <c r="CQ71" s="68"/>
      <c r="CR71" s="68"/>
      <c r="CS71" s="68"/>
      <c r="CT71" s="68"/>
      <c r="CU71" s="68"/>
      <c r="CV71" s="68"/>
      <c r="CW71" s="68"/>
      <c r="CX71" s="66"/>
      <c r="CY71" s="56"/>
      <c r="CZ71" s="56"/>
      <c r="DA71" s="56"/>
      <c r="DB71" s="56"/>
      <c r="DC71" s="56"/>
      <c r="DD71" s="56"/>
      <c r="DE71" s="56"/>
      <c r="DF71" s="543"/>
      <c r="DG71" s="543"/>
      <c r="DH71" s="543"/>
      <c r="DI71" s="543"/>
      <c r="DJ71" s="543"/>
      <c r="DK71" s="543"/>
      <c r="DL71" s="57"/>
      <c r="DM71" s="68"/>
      <c r="DN71" s="68"/>
      <c r="DO71" s="68"/>
      <c r="DP71" s="68"/>
      <c r="DQ71" s="68"/>
      <c r="DR71" s="68"/>
      <c r="DS71" s="68"/>
      <c r="DT71" s="68"/>
      <c r="DU71" s="68"/>
      <c r="DV71" s="68"/>
      <c r="DW71" s="68"/>
      <c r="DX71" s="68"/>
      <c r="DY71" s="68"/>
      <c r="DZ71" s="68"/>
      <c r="EA71" s="68"/>
      <c r="EB71" s="68"/>
    </row>
    <row r="72" spans="1:132">
      <c r="A72" s="54"/>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550"/>
      <c r="AS72" s="550"/>
      <c r="AT72" s="550"/>
      <c r="AU72" s="550"/>
      <c r="AV72" s="550"/>
      <c r="AW72" s="550"/>
      <c r="AX72" s="550"/>
      <c r="AY72" s="550"/>
      <c r="AZ72" s="550"/>
      <c r="BA72" s="550"/>
      <c r="BB72" s="550"/>
      <c r="BC72" s="550"/>
      <c r="BD72" s="550"/>
      <c r="BE72" s="550"/>
      <c r="BF72" s="550"/>
      <c r="BG72" s="550"/>
      <c r="BH72" s="550"/>
      <c r="BI72" s="550"/>
      <c r="BJ72" s="550"/>
      <c r="BK72" s="550"/>
      <c r="BL72" s="550"/>
      <c r="BM72" s="550"/>
      <c r="BN72" s="550"/>
      <c r="BO72" s="550"/>
      <c r="BP72" s="618"/>
      <c r="BQ72" s="70"/>
      <c r="BR72" s="70"/>
      <c r="BS72" s="70"/>
      <c r="BT72" s="70"/>
      <c r="BU72" s="70"/>
      <c r="BV72" s="70"/>
      <c r="BW72" s="70"/>
      <c r="BX72" s="70"/>
      <c r="BY72" s="70"/>
      <c r="BZ72" s="70"/>
      <c r="CA72" s="70"/>
      <c r="CB72" s="70"/>
      <c r="CC72" s="70"/>
      <c r="CD72" s="70"/>
      <c r="CE72" s="70"/>
      <c r="CF72" s="70"/>
      <c r="CG72" s="70"/>
      <c r="CH72" s="70"/>
      <c r="CI72" s="70"/>
      <c r="CJ72" s="70"/>
      <c r="CK72" s="70"/>
      <c r="CL72" s="70"/>
      <c r="CM72" s="70"/>
      <c r="CN72" s="70"/>
      <c r="CO72" s="70"/>
      <c r="CP72" s="70"/>
      <c r="CQ72" s="70"/>
      <c r="CR72" s="70"/>
      <c r="CS72" s="70"/>
      <c r="CT72" s="70"/>
      <c r="CU72" s="70"/>
      <c r="CV72" s="71"/>
      <c r="CW72" s="71"/>
      <c r="CX72" s="69"/>
      <c r="CY72" s="60"/>
      <c r="CZ72" s="60"/>
      <c r="DA72" s="60"/>
      <c r="DB72" s="60"/>
      <c r="DC72" s="60"/>
      <c r="DD72" s="60"/>
      <c r="DE72" s="60"/>
      <c r="DF72" s="560"/>
      <c r="DG72" s="560"/>
      <c r="DH72" s="560"/>
      <c r="DI72" s="560"/>
      <c r="DJ72" s="560"/>
      <c r="DK72" s="560"/>
      <c r="DL72" s="110"/>
      <c r="DM72" s="71"/>
      <c r="DN72" s="71"/>
      <c r="DO72" s="71"/>
      <c r="DP72" s="71"/>
      <c r="DQ72" s="71"/>
      <c r="DR72" s="71"/>
      <c r="DS72" s="71"/>
      <c r="DT72" s="71"/>
      <c r="DU72" s="71"/>
      <c r="DV72" s="71"/>
      <c r="DW72" s="71"/>
      <c r="DX72" s="71"/>
      <c r="DY72" s="71"/>
      <c r="DZ72" s="71"/>
      <c r="EA72" s="71"/>
      <c r="EB72" s="71"/>
    </row>
    <row r="73" spans="1:132">
      <c r="A73" s="54"/>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550"/>
      <c r="AS73" s="550"/>
      <c r="AT73" s="550"/>
      <c r="AU73" s="550"/>
      <c r="AV73" s="550"/>
      <c r="AW73" s="550"/>
      <c r="AX73" s="550"/>
      <c r="AY73" s="550"/>
      <c r="AZ73" s="550"/>
      <c r="BA73" s="550"/>
      <c r="BB73" s="550"/>
      <c r="BC73" s="550"/>
      <c r="BD73" s="552"/>
      <c r="BE73" s="552"/>
      <c r="BF73" s="552"/>
      <c r="BG73" s="552"/>
      <c r="BH73" s="552"/>
      <c r="BI73" s="552"/>
      <c r="BJ73" s="552"/>
      <c r="BK73" s="552"/>
      <c r="BL73" s="552"/>
      <c r="BM73" s="552"/>
      <c r="BN73" s="552"/>
      <c r="BO73" s="552"/>
      <c r="BP73" s="45"/>
      <c r="BQ73" s="70"/>
      <c r="BR73" s="70"/>
      <c r="BS73" s="70"/>
      <c r="BT73" s="70"/>
      <c r="BU73" s="70"/>
      <c r="BV73" s="70"/>
      <c r="BW73" s="70"/>
      <c r="BX73" s="70"/>
      <c r="BY73" s="70"/>
      <c r="BZ73" s="70"/>
      <c r="CA73" s="70"/>
      <c r="CB73" s="70"/>
      <c r="CC73" s="70"/>
      <c r="CD73" s="70"/>
      <c r="CE73" s="70"/>
      <c r="CF73" s="70"/>
      <c r="CG73" s="70"/>
      <c r="CH73" s="70"/>
      <c r="CI73" s="70"/>
      <c r="CJ73" s="70"/>
      <c r="CK73" s="70"/>
      <c r="CL73" s="70"/>
      <c r="CM73" s="70"/>
      <c r="CN73" s="70"/>
      <c r="CO73" s="70"/>
      <c r="CP73" s="70"/>
      <c r="CQ73" s="70"/>
      <c r="CR73" s="70"/>
      <c r="CS73" s="70"/>
      <c r="CT73" s="70"/>
      <c r="CU73" s="70"/>
      <c r="CV73" s="71"/>
      <c r="CW73" s="71"/>
      <c r="CX73" s="69"/>
      <c r="CY73" s="60"/>
      <c r="CZ73" s="60"/>
      <c r="DA73" s="60"/>
      <c r="DB73" s="60"/>
      <c r="DC73" s="60"/>
      <c r="DD73" s="60"/>
      <c r="DE73" s="60"/>
      <c r="DF73" s="560"/>
      <c r="DG73" s="560"/>
      <c r="DH73" s="560"/>
      <c r="DI73" s="560"/>
      <c r="DJ73" s="560"/>
      <c r="DK73" s="560"/>
      <c r="DL73" s="110"/>
      <c r="DM73" s="71"/>
      <c r="DN73" s="71"/>
      <c r="DO73" s="71"/>
      <c r="DP73" s="71"/>
      <c r="DQ73" s="71"/>
      <c r="DR73" s="71"/>
      <c r="DS73" s="71"/>
      <c r="DT73" s="71"/>
      <c r="DU73" s="71"/>
      <c r="DV73" s="71"/>
      <c r="DW73" s="71"/>
      <c r="DX73" s="71"/>
      <c r="DY73" s="71"/>
      <c r="DZ73" s="71"/>
      <c r="EA73" s="71"/>
      <c r="EB73" s="71"/>
    </row>
    <row r="74" spans="1:132">
      <c r="A74" s="54"/>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550"/>
      <c r="AS74" s="550"/>
      <c r="AT74" s="550"/>
      <c r="AU74" s="550"/>
      <c r="AV74" s="550"/>
      <c r="AW74" s="550"/>
      <c r="AX74" s="550"/>
      <c r="AY74" s="550"/>
      <c r="AZ74" s="550"/>
      <c r="BA74" s="550"/>
      <c r="BB74" s="550"/>
      <c r="BC74" s="550"/>
      <c r="BD74" s="550"/>
      <c r="BE74" s="550"/>
      <c r="BF74" s="550"/>
      <c r="BG74" s="550"/>
      <c r="BH74" s="550"/>
      <c r="BI74" s="550"/>
      <c r="BJ74" s="550"/>
      <c r="BK74" s="550"/>
      <c r="BL74" s="550"/>
      <c r="BM74" s="550"/>
      <c r="BN74" s="550"/>
      <c r="BO74" s="550"/>
      <c r="BP74" s="618"/>
      <c r="BQ74" s="70"/>
      <c r="BR74" s="70"/>
      <c r="BS74" s="70"/>
      <c r="BT74" s="70"/>
      <c r="BU74" s="70"/>
      <c r="BV74" s="70"/>
      <c r="BW74" s="70"/>
      <c r="BX74" s="70"/>
      <c r="BY74" s="70"/>
      <c r="BZ74" s="70"/>
      <c r="CA74" s="70"/>
      <c r="CB74" s="70"/>
      <c r="CC74" s="70"/>
      <c r="CD74" s="70"/>
      <c r="CE74" s="70"/>
      <c r="CF74" s="70"/>
      <c r="CG74" s="70"/>
      <c r="CH74" s="70"/>
      <c r="CI74" s="70"/>
      <c r="CJ74" s="70"/>
      <c r="CK74" s="70"/>
      <c r="CL74" s="70"/>
      <c r="CM74" s="70"/>
      <c r="CN74" s="70"/>
      <c r="CO74" s="70"/>
      <c r="CP74" s="70"/>
      <c r="CQ74" s="70"/>
      <c r="CR74" s="70"/>
      <c r="CS74" s="70"/>
      <c r="CT74" s="70"/>
      <c r="CU74" s="70"/>
      <c r="CV74" s="70"/>
      <c r="CW74" s="70"/>
      <c r="CX74" s="72"/>
      <c r="CY74" s="56"/>
      <c r="CZ74" s="56"/>
      <c r="DA74" s="56"/>
      <c r="DB74" s="56"/>
      <c r="DC74" s="56"/>
      <c r="DD74" s="56"/>
      <c r="DE74" s="56"/>
      <c r="DF74" s="543"/>
      <c r="DG74" s="543"/>
      <c r="DH74" s="543"/>
      <c r="DI74" s="543"/>
      <c r="DJ74" s="543"/>
      <c r="DK74" s="543"/>
      <c r="DL74" s="57"/>
      <c r="DM74" s="70"/>
      <c r="DN74" s="70"/>
      <c r="DO74" s="70"/>
      <c r="DP74" s="70"/>
      <c r="DQ74" s="70"/>
      <c r="DR74" s="70"/>
      <c r="DS74" s="70"/>
      <c r="DT74" s="70"/>
      <c r="DU74" s="70"/>
      <c r="DV74" s="70"/>
      <c r="DW74" s="70"/>
      <c r="DX74" s="70"/>
      <c r="DY74" s="70"/>
      <c r="DZ74" s="70"/>
      <c r="EA74" s="70"/>
      <c r="EB74" s="70"/>
    </row>
    <row r="75" spans="1:132">
      <c r="A75" s="34" t="s">
        <v>494</v>
      </c>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4"/>
      <c r="BQ75" s="73"/>
      <c r="BR75" s="73"/>
      <c r="BS75" s="73"/>
      <c r="BT75" s="73"/>
      <c r="BU75" s="73"/>
      <c r="BV75" s="73"/>
      <c r="BW75" s="73"/>
      <c r="BX75" s="73"/>
      <c r="BY75" s="73"/>
      <c r="BZ75" s="73"/>
      <c r="CA75" s="73"/>
      <c r="CB75" s="73"/>
      <c r="CC75" s="73"/>
      <c r="CD75" s="73"/>
      <c r="CE75" s="73"/>
      <c r="CF75" s="73"/>
      <c r="CG75" s="73"/>
      <c r="CH75" s="73"/>
      <c r="CI75" s="73"/>
      <c r="CJ75" s="73"/>
      <c r="CK75" s="73"/>
      <c r="CL75" s="73"/>
      <c r="CM75" s="73"/>
      <c r="CN75" s="73"/>
      <c r="CO75" s="73"/>
      <c r="CP75" s="73"/>
      <c r="CQ75" s="73"/>
      <c r="CR75" s="73"/>
      <c r="CS75" s="73"/>
      <c r="CT75" s="73"/>
      <c r="CU75" s="73"/>
      <c r="CV75" s="73"/>
      <c r="CW75" s="73"/>
      <c r="CX75" s="73"/>
      <c r="CY75" s="75"/>
      <c r="CZ75" s="75"/>
      <c r="DA75" s="75"/>
      <c r="DB75" s="75"/>
      <c r="DC75" s="75"/>
      <c r="DD75" s="75"/>
      <c r="DE75" s="75"/>
      <c r="DF75" s="574"/>
      <c r="DG75" s="73"/>
      <c r="DH75" s="73"/>
      <c r="DI75" s="73"/>
      <c r="DJ75" s="73"/>
      <c r="DK75" s="73"/>
      <c r="DL75" s="74"/>
      <c r="DM75" s="73"/>
      <c r="DN75" s="73"/>
      <c r="DO75" s="73"/>
      <c r="DP75" s="73"/>
      <c r="DQ75" s="73"/>
      <c r="DR75" s="73"/>
      <c r="DS75" s="73"/>
      <c r="DT75" s="73"/>
      <c r="DU75" s="73"/>
      <c r="DV75" s="73"/>
      <c r="DW75" s="73"/>
      <c r="DX75" s="73"/>
      <c r="DY75" s="73"/>
      <c r="DZ75" s="73"/>
      <c r="EA75" s="73"/>
      <c r="EB75" s="73"/>
    </row>
    <row r="76" spans="1:132">
      <c r="A76" s="43" t="s">
        <v>459</v>
      </c>
      <c r="B76" s="76"/>
      <c r="C76" s="76"/>
      <c r="D76" s="76"/>
      <c r="E76" s="76"/>
      <c r="F76" s="48"/>
      <c r="G76" s="48">
        <v>1.1215605940686268E-2</v>
      </c>
      <c r="H76" s="48">
        <v>1.1183122472331775E-2</v>
      </c>
      <c r="I76" s="48">
        <v>1.4377930222179369E-2</v>
      </c>
      <c r="J76" s="48">
        <v>2.6192415103541089E-2</v>
      </c>
      <c r="K76" s="48">
        <v>3.5023181506360412E-2</v>
      </c>
      <c r="L76" s="48">
        <v>3.8126216928186851E-2</v>
      </c>
      <c r="M76" s="48">
        <v>3.0620668384193861E-2</v>
      </c>
      <c r="N76" s="48">
        <v>2.5828752813320977E-2</v>
      </c>
      <c r="O76" s="48">
        <v>1.6538704482976341E-2</v>
      </c>
      <c r="P76" s="48">
        <v>1.9497168982819613E-2</v>
      </c>
      <c r="Q76" s="48">
        <v>1.7595049796895523E-2</v>
      </c>
      <c r="R76" s="48">
        <v>1.5187472411246183E-2</v>
      </c>
      <c r="S76" s="48">
        <v>1.7157935271568725E-2</v>
      </c>
      <c r="T76" s="48">
        <v>1.0947341081747997E-2</v>
      </c>
      <c r="U76" s="48">
        <v>1.5128383667573297E-2</v>
      </c>
      <c r="V76" s="48">
        <v>1.6126949139408042E-2</v>
      </c>
      <c r="W76" s="48">
        <v>2.0589816945944195E-2</v>
      </c>
      <c r="X76" s="48">
        <v>1.6840509711232077E-2</v>
      </c>
      <c r="Y76" s="48">
        <v>6.5312139196231911E-3</v>
      </c>
      <c r="Z76" s="48">
        <v>-2.2031284423873476E-4</v>
      </c>
      <c r="AA76" s="48">
        <v>1.7957180975505249E-3</v>
      </c>
      <c r="AB76" s="48">
        <v>8.8429616341700878E-5</v>
      </c>
      <c r="AC76" s="48">
        <v>6.3872475153647912E-3</v>
      </c>
      <c r="AD76" s="48">
        <v>8.9161609655219465E-3</v>
      </c>
      <c r="AE76" s="48">
        <v>1.0792865347959424E-2</v>
      </c>
      <c r="AF76" s="48">
        <v>1.5486446201652182E-2</v>
      </c>
      <c r="AG76" s="48">
        <v>2.0507989115119862E-2</v>
      </c>
      <c r="AH76" s="48">
        <v>2.44119623655914E-2</v>
      </c>
      <c r="AI76" s="48">
        <v>1.6405658099591269E-2</v>
      </c>
      <c r="AJ76" s="48">
        <v>2.1805652303711787E-2</v>
      </c>
      <c r="AK76" s="48">
        <v>2.1299307195522532E-2</v>
      </c>
      <c r="AL76" s="48">
        <v>2.3309497646499366E-2</v>
      </c>
      <c r="AM76" s="48">
        <v>2.8075506935940187E-2</v>
      </c>
      <c r="AN76" s="48">
        <v>2.3320551058088279E-2</v>
      </c>
      <c r="AO76" s="48">
        <v>2.0023809043401064E-2</v>
      </c>
      <c r="AP76" s="48">
        <v>1.8831863513063984E-2</v>
      </c>
      <c r="AQ76" s="48">
        <v>1.671194894390049E-2</v>
      </c>
      <c r="AR76" s="549">
        <v>1.6844977040391562E-2</v>
      </c>
      <c r="AS76" s="549">
        <v>2.3195274699624457E-2</v>
      </c>
      <c r="AT76" s="549">
        <v>1.4940399642909163E-2</v>
      </c>
      <c r="AU76" s="549">
        <v>7.1665628318304808E-3</v>
      </c>
      <c r="AV76" s="549">
        <v>1.3910228912373812E-2</v>
      </c>
      <c r="AW76" s="549">
        <v>1.3204191315779434E-2</v>
      </c>
      <c r="AX76" s="549">
        <v>2.6236457477642139E-2</v>
      </c>
      <c r="AY76" s="549">
        <v>5.317418943207719E-2</v>
      </c>
      <c r="AZ76" s="549">
        <v>5.363523425270289E-2</v>
      </c>
      <c r="BA76" s="549">
        <v>7.1594573451124743E-2</v>
      </c>
      <c r="BB76" s="549">
        <v>8.5407801485385848E-2</v>
      </c>
      <c r="BC76" s="549">
        <v>8.9992981419231066E-2</v>
      </c>
      <c r="BD76" s="549">
        <v>8.2057515824517591E-2</v>
      </c>
      <c r="BE76" s="549">
        <v>6.4108316773858087E-2</v>
      </c>
      <c r="BF76" s="549">
        <v>4.9313486417571273E-2</v>
      </c>
      <c r="BG76" s="549">
        <v>3.0592533347792994E-2</v>
      </c>
      <c r="BH76" s="549">
        <v>3.6950823322234427E-2</v>
      </c>
      <c r="BI76" s="549">
        <v>3.322200208829762E-2</v>
      </c>
      <c r="BJ76" s="549">
        <v>3.4690014354717524E-2</v>
      </c>
      <c r="BK76" s="549">
        <v>2.9700853998204435E-2</v>
      </c>
      <c r="BL76" s="549">
        <v>2.4325414641446441E-2</v>
      </c>
      <c r="BM76" s="549">
        <v>2.872366268806581E-2</v>
      </c>
      <c r="BN76" s="549">
        <v>2.4055852640280317E-2</v>
      </c>
      <c r="BO76" s="549">
        <v>2.6726833178446263E-2</v>
      </c>
      <c r="BP76" s="49">
        <v>3.0226996261723871E-2</v>
      </c>
      <c r="BQ76" s="47">
        <v>2.338768840344696E-2</v>
      </c>
      <c r="BR76" s="47">
        <v>2.829999999999977E-2</v>
      </c>
      <c r="BS76" s="47">
        <v>2.9899999999999816E-2</v>
      </c>
      <c r="BT76" s="47">
        <v>2.7999999999999803E-2</v>
      </c>
      <c r="BU76" s="47">
        <v>2.6799999999999713E-2</v>
      </c>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77"/>
      <c r="CW76" s="77"/>
      <c r="CX76" s="76"/>
      <c r="CY76" s="56"/>
      <c r="CZ76" s="48">
        <v>1.7595049796895523E-2</v>
      </c>
      <c r="DA76" s="48">
        <v>1.5128383667573297E-2</v>
      </c>
      <c r="DB76" s="48">
        <v>6.5312139196231911E-3</v>
      </c>
      <c r="DC76" s="48">
        <v>6.3872475153647912E-3</v>
      </c>
      <c r="DD76" s="48">
        <v>2.0507989115119862E-2</v>
      </c>
      <c r="DE76" s="48">
        <v>2.1299307195522532E-2</v>
      </c>
      <c r="DF76" s="549">
        <v>2.0023809043401064E-2</v>
      </c>
      <c r="DG76" s="549">
        <v>2.3195274699624457E-2</v>
      </c>
      <c r="DH76" s="549">
        <v>1.3204191315779434E-2</v>
      </c>
      <c r="DI76" s="549">
        <v>7.1594573451124743E-2</v>
      </c>
      <c r="DJ76" s="549">
        <v>6.4108316773858087E-2</v>
      </c>
      <c r="DK76" s="549">
        <v>3.322200208829762E-2</v>
      </c>
      <c r="DL76" s="49">
        <v>2.872366268806581E-2</v>
      </c>
      <c r="DM76" s="47">
        <v>2.338768840344696E-2</v>
      </c>
      <c r="DN76" s="47">
        <v>2.6799999999999713E-2</v>
      </c>
      <c r="DO76" s="47">
        <v>2.0000000000000018E-2</v>
      </c>
      <c r="DP76" s="47">
        <v>2.0000000000000018E-2</v>
      </c>
      <c r="DQ76" s="47">
        <v>2.0000000000000018E-2</v>
      </c>
      <c r="DR76" s="47">
        <v>2.0000000000000018E-2</v>
      </c>
      <c r="DS76" s="47">
        <v>2.0000000000000018E-2</v>
      </c>
      <c r="DT76" s="47">
        <v>2.0000000000000018E-2</v>
      </c>
      <c r="DU76" s="47">
        <v>2.0000000000000018E-2</v>
      </c>
      <c r="DV76" s="47">
        <v>2.0000000000000018E-2</v>
      </c>
      <c r="DW76" s="47">
        <v>2.0000000000000018E-2</v>
      </c>
      <c r="DX76" s="47">
        <v>2.0000000000000018E-2</v>
      </c>
      <c r="DY76" s="47">
        <v>2.0000000000000018E-2</v>
      </c>
      <c r="DZ76" s="47">
        <v>2.0000000000000018E-2</v>
      </c>
      <c r="EA76" s="47">
        <v>2.0000000000000018E-2</v>
      </c>
      <c r="EB76" s="47">
        <v>2.0000000000000018E-2</v>
      </c>
    </row>
    <row r="77" spans="1:132">
      <c r="A77" s="43" t="s">
        <v>460</v>
      </c>
      <c r="B77" s="43"/>
      <c r="C77" s="43"/>
      <c r="D77" s="43"/>
      <c r="E77" s="43"/>
      <c r="F77" s="48"/>
      <c r="G77" s="48"/>
      <c r="H77" s="48"/>
      <c r="I77" s="48">
        <v>2.9837724655382925E-2</v>
      </c>
      <c r="J77" s="48">
        <v>3.3725354548599151E-2</v>
      </c>
      <c r="K77" s="48">
        <v>3.4305317324185181E-2</v>
      </c>
      <c r="L77" s="48">
        <v>3.2795242141036463E-2</v>
      </c>
      <c r="M77" s="48">
        <v>4.4391731616401087E-2</v>
      </c>
      <c r="N77" s="48">
        <v>3.7811611176175264E-2</v>
      </c>
      <c r="O77" s="48">
        <v>2.6533996683250516E-2</v>
      </c>
      <c r="P77" s="48">
        <v>2.8298782494241559E-2</v>
      </c>
      <c r="Q77" s="48">
        <v>1.4763140817650733E-2</v>
      </c>
      <c r="R77" s="48">
        <v>1.5315170078993967E-2</v>
      </c>
      <c r="S77" s="48">
        <v>1.8901453957996805E-2</v>
      </c>
      <c r="T77" s="48">
        <v>1.967999999999992E-2</v>
      </c>
      <c r="U77" s="48">
        <v>3.0215827338129442E-2</v>
      </c>
      <c r="V77" s="48">
        <v>3.8583677357891366E-2</v>
      </c>
      <c r="W77" s="48">
        <v>4.7724750277469363E-2</v>
      </c>
      <c r="X77" s="48">
        <v>5.1310214969402246E-2</v>
      </c>
      <c r="Y77" s="48">
        <v>4.6399751707014492E-2</v>
      </c>
      <c r="Z77" s="48">
        <v>4.1889619324262384E-2</v>
      </c>
      <c r="AA77" s="48">
        <v>4.4188861985472228E-2</v>
      </c>
      <c r="AB77" s="48">
        <v>4.6417910447761113E-2</v>
      </c>
      <c r="AC77" s="48">
        <v>4.3897375055613086E-2</v>
      </c>
      <c r="AD77" s="48">
        <v>4.446074834922964E-2</v>
      </c>
      <c r="AE77" s="48">
        <v>4.202898550724643E-2</v>
      </c>
      <c r="AF77" s="48">
        <v>3.0951362145200445E-2</v>
      </c>
      <c r="AG77" s="48">
        <v>2.6992470521380874E-2</v>
      </c>
      <c r="AH77" s="48">
        <v>2.7535824669850939E-2</v>
      </c>
      <c r="AI77" s="48">
        <v>1.6968011126564653E-2</v>
      </c>
      <c r="AJ77" s="48">
        <v>1.4526840066408475E-2</v>
      </c>
      <c r="AK77" s="48">
        <v>2.2686401991976801E-2</v>
      </c>
      <c r="AL77" s="48">
        <v>1.8047579983593076E-2</v>
      </c>
      <c r="AM77" s="48">
        <v>2.5437636761487914E-2</v>
      </c>
      <c r="AN77" s="48">
        <v>3.1365062048274828E-2</v>
      </c>
      <c r="AO77" s="48">
        <v>2.5699986473691316E-2</v>
      </c>
      <c r="AP77" s="48">
        <v>2.4845554660220426E-2</v>
      </c>
      <c r="AQ77" s="48">
        <v>2.7073886369698652E-2</v>
      </c>
      <c r="AR77" s="549">
        <v>2.2477852703953527E-2</v>
      </c>
      <c r="AS77" s="549">
        <v>2.9935381775022973E-2</v>
      </c>
      <c r="AT77" s="549">
        <v>3.7347660857030451E-2</v>
      </c>
      <c r="AU77" s="549">
        <v>2.6230359693546257E-2</v>
      </c>
      <c r="AV77" s="549">
        <v>3.0906504590715089E-2</v>
      </c>
      <c r="AW77" s="549">
        <v>2.9833546734955307E-2</v>
      </c>
      <c r="AX77" s="549">
        <v>2.892875189489641E-2</v>
      </c>
      <c r="AY77" s="549">
        <v>3.8086802480070903E-2</v>
      </c>
      <c r="AZ77" s="549">
        <v>5.3437029603612629E-2</v>
      </c>
      <c r="BA77" s="549">
        <v>7.1739400721123836E-2</v>
      </c>
      <c r="BB77" s="549">
        <v>9.4045426642111574E-2</v>
      </c>
      <c r="BC77" s="549">
        <v>0.12493905411994155</v>
      </c>
      <c r="BD77" s="549">
        <v>0.13729459395094068</v>
      </c>
      <c r="BE77" s="549">
        <v>0.12772621809744766</v>
      </c>
      <c r="BF77" s="549">
        <v>0.11098642127707325</v>
      </c>
      <c r="BG77" s="549">
        <v>7.5522808538303066E-2</v>
      </c>
      <c r="BH77" s="549">
        <v>5.1094126269500606E-2</v>
      </c>
      <c r="BI77" s="549">
        <v>3.9399238761444355E-2</v>
      </c>
      <c r="BJ77" s="549">
        <v>3.7373737373737503E-2</v>
      </c>
      <c r="BK77" s="549">
        <v>4.1910134998992543E-2</v>
      </c>
      <c r="BL77" s="549">
        <v>4.133877876282499E-2</v>
      </c>
      <c r="BM77" s="549">
        <v>4.5328582739509127E-2</v>
      </c>
      <c r="BN77" s="549">
        <v>4.8685491723466479E-2</v>
      </c>
      <c r="BO77" s="549">
        <v>4.1191258944111464E-2</v>
      </c>
      <c r="BP77" s="49">
        <v>4.4002295771953248E-2</v>
      </c>
      <c r="BQ77" s="47">
        <v>3.4463169854194176E-2</v>
      </c>
      <c r="BR77" s="47">
        <v>2.990000000000026E-2</v>
      </c>
      <c r="BS77" s="47">
        <v>3.0399999999999983E-2</v>
      </c>
      <c r="BT77" s="47">
        <v>2.8899999999999926E-2</v>
      </c>
      <c r="BU77" s="47">
        <v>2.9999999999999805E-2</v>
      </c>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78"/>
      <c r="CW77" s="78"/>
      <c r="CX77" s="43"/>
      <c r="CY77" s="43"/>
      <c r="CZ77" s="48">
        <v>1.4763140817650733E-2</v>
      </c>
      <c r="DA77" s="48">
        <v>3.0215827338129442E-2</v>
      </c>
      <c r="DB77" s="48">
        <v>4.6399751707014492E-2</v>
      </c>
      <c r="DC77" s="48">
        <v>4.3897375055613086E-2</v>
      </c>
      <c r="DD77" s="48">
        <v>2.6992470521380874E-2</v>
      </c>
      <c r="DE77" s="48">
        <v>2.2686401991976801E-2</v>
      </c>
      <c r="DF77" s="549">
        <v>2.5699986473691316E-2</v>
      </c>
      <c r="DG77" s="549">
        <v>2.9935381775022973E-2</v>
      </c>
      <c r="DH77" s="549">
        <v>2.9833546734955307E-2</v>
      </c>
      <c r="DI77" s="549">
        <v>7.1739400721123836E-2</v>
      </c>
      <c r="DJ77" s="549">
        <v>0.12772621809744766</v>
      </c>
      <c r="DK77" s="549">
        <v>3.9399238761444355E-2</v>
      </c>
      <c r="DL77" s="49">
        <v>4.5328582739509127E-2</v>
      </c>
      <c r="DM77" s="47">
        <v>3.4463169854194176E-2</v>
      </c>
      <c r="DN77" s="47">
        <v>2.9999999999999805E-2</v>
      </c>
      <c r="DO77" s="47">
        <v>3.0000000000000027E-2</v>
      </c>
      <c r="DP77" s="47">
        <v>3.0000000000000027E-2</v>
      </c>
      <c r="DQ77" s="47">
        <v>3.0000000000000027E-2</v>
      </c>
      <c r="DR77" s="47">
        <v>3.0000000000000027E-2</v>
      </c>
      <c r="DS77" s="47">
        <v>3.0000000000000027E-2</v>
      </c>
      <c r="DT77" s="47">
        <v>3.0000000000000027E-2</v>
      </c>
      <c r="DU77" s="47">
        <v>3.0000000000000027E-2</v>
      </c>
      <c r="DV77" s="47">
        <v>3.0000000000000027E-2</v>
      </c>
      <c r="DW77" s="47">
        <v>3.0000000000000027E-2</v>
      </c>
      <c r="DX77" s="47">
        <v>3.0000000000000027E-2</v>
      </c>
      <c r="DY77" s="47">
        <v>3.0000000000000027E-2</v>
      </c>
      <c r="DZ77" s="47">
        <v>3.0000000000000027E-2</v>
      </c>
      <c r="EA77" s="47">
        <v>3.0000000000000027E-2</v>
      </c>
      <c r="EB77" s="47">
        <v>3.0000000000000027E-2</v>
      </c>
    </row>
    <row r="78" spans="1:132">
      <c r="A78" s="43" t="s">
        <v>461</v>
      </c>
      <c r="B78" s="43"/>
      <c r="C78" s="43"/>
      <c r="D78" s="43"/>
      <c r="E78" s="43"/>
      <c r="F78" s="48"/>
      <c r="G78" s="48">
        <v>1.6435986159169635E-2</v>
      </c>
      <c r="H78" s="48">
        <v>2.3672055427251815E-2</v>
      </c>
      <c r="I78" s="48">
        <v>2.0716443677168739E-2</v>
      </c>
      <c r="J78" s="48">
        <v>2.6664765435619575E-2</v>
      </c>
      <c r="K78" s="48">
        <v>2.907801418439715E-2</v>
      </c>
      <c r="L78" s="48">
        <v>3.7225042301184397E-2</v>
      </c>
      <c r="M78" s="48">
        <v>4.7357293868921735E-2</v>
      </c>
      <c r="N78" s="48">
        <v>4.2361111111111072E-2</v>
      </c>
      <c r="O78" s="48">
        <v>3.997243280496221E-2</v>
      </c>
      <c r="P78" s="48">
        <v>3.738444806960306E-2</v>
      </c>
      <c r="Q78" s="48">
        <v>2.6510563854124536E-2</v>
      </c>
      <c r="R78" s="48">
        <v>2.584943371085946E-2</v>
      </c>
      <c r="S78" s="48">
        <v>2.7700463883366444E-2</v>
      </c>
      <c r="T78" s="48">
        <v>2.8305595596907374E-2</v>
      </c>
      <c r="U78" s="48">
        <v>2.8578919769270961E-2</v>
      </c>
      <c r="V78" s="48">
        <v>3.3900506559293442E-2</v>
      </c>
      <c r="W78" s="48">
        <v>3.4562806293525927E-2</v>
      </c>
      <c r="X78" s="48">
        <v>2.739900598955014E-2</v>
      </c>
      <c r="Y78" s="48">
        <v>3.2245730308437359E-2</v>
      </c>
      <c r="Z78" s="48">
        <v>3.0150753768844352E-2</v>
      </c>
      <c r="AA78" s="48">
        <v>3.5402642732485612E-2</v>
      </c>
      <c r="AB78" s="48">
        <v>3.907219052344324E-2</v>
      </c>
      <c r="AC78" s="48">
        <v>4.4079515989628337E-2</v>
      </c>
      <c r="AD78" s="48">
        <v>4.3048780487804805E-2</v>
      </c>
      <c r="AE78" s="48">
        <v>3.3469780881290712E-2</v>
      </c>
      <c r="AF78" s="48">
        <v>3.127611316700496E-2</v>
      </c>
      <c r="AG78" s="48">
        <v>3.22847682119205E-2</v>
      </c>
      <c r="AH78" s="48">
        <v>3.9752133754238361E-2</v>
      </c>
      <c r="AI78" s="48">
        <v>2.7260018639329031E-2</v>
      </c>
      <c r="AJ78" s="48">
        <v>2.9517305243662362E-2</v>
      </c>
      <c r="AK78" s="48">
        <v>1.3632718524458687E-2</v>
      </c>
      <c r="AL78" s="48">
        <v>3.5983357697064733E-3</v>
      </c>
      <c r="AM78" s="48">
        <v>1.4288954411431076E-2</v>
      </c>
      <c r="AN78" s="48">
        <v>1.2705194513154883E-2</v>
      </c>
      <c r="AO78" s="48">
        <v>2.192585895117527E-2</v>
      </c>
      <c r="AP78" s="48">
        <v>2.2408963585434094E-2</v>
      </c>
      <c r="AQ78" s="48">
        <v>2.2920393559928476E-2</v>
      </c>
      <c r="AR78" s="549">
        <v>1.85411346730322E-2</v>
      </c>
      <c r="AS78" s="549">
        <v>1.9022340190223419E-2</v>
      </c>
      <c r="AT78" s="549">
        <v>1.8301369863013672E-2</v>
      </c>
      <c r="AU78" s="549">
        <v>1.6067329762815552E-2</v>
      </c>
      <c r="AV78" s="549">
        <v>1.8203618923043452E-2</v>
      </c>
      <c r="AW78" s="549">
        <v>1.9752550466681118E-2</v>
      </c>
      <c r="AX78" s="549">
        <v>2.5936289281101921E-2</v>
      </c>
      <c r="AY78" s="549">
        <v>3.2487091222031195E-2</v>
      </c>
      <c r="AZ78" s="549">
        <v>5.234985547585902E-2</v>
      </c>
      <c r="BA78" s="549">
        <v>6.4282673478075925E-2</v>
      </c>
      <c r="BB78" s="549">
        <v>6.8289101017518172E-2</v>
      </c>
      <c r="BC78" s="549">
        <v>8.8143363200666736E-2</v>
      </c>
      <c r="BD78" s="549">
        <v>8.5249237029501712E-2</v>
      </c>
      <c r="BE78" s="549">
        <v>8.4600000000000009E-2</v>
      </c>
      <c r="BF78" s="549">
        <v>8.3955223880596952E-2</v>
      </c>
      <c r="BG78" s="549">
        <v>6.4630409804672606E-2</v>
      </c>
      <c r="BH78" s="549">
        <v>5.0431196100487297E-2</v>
      </c>
      <c r="BI78" s="549">
        <v>3.2362161165406578E-2</v>
      </c>
      <c r="BJ78" s="549">
        <v>3.0437539632212962E-2</v>
      </c>
      <c r="BK78" s="549">
        <v>2.2843780915549949E-2</v>
      </c>
      <c r="BL78" s="549">
        <v>1.7758343744422644E-2</v>
      </c>
      <c r="BM78" s="549">
        <v>1.9648120032151439E-2</v>
      </c>
      <c r="BN78" s="549">
        <v>1.2835164835164781E-2</v>
      </c>
      <c r="BO78" s="549">
        <v>1.6970016706234103E-2</v>
      </c>
      <c r="BP78" s="49">
        <v>1.3590530469092421E-2</v>
      </c>
      <c r="BQ78" s="47">
        <v>1.2612770430060483E-2</v>
      </c>
      <c r="BR78" s="47">
        <v>1.7000000000000126E-2</v>
      </c>
      <c r="BS78" s="47">
        <v>1.6599999999999948E-2</v>
      </c>
      <c r="BT78" s="47">
        <v>1.8699999999999939E-2</v>
      </c>
      <c r="BU78" s="47">
        <v>2.1899999999999809E-2</v>
      </c>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78"/>
      <c r="CW78" s="78"/>
      <c r="CX78" s="43"/>
      <c r="CY78" s="43"/>
      <c r="CZ78" s="48">
        <v>2.6510563854124536E-2</v>
      </c>
      <c r="DA78" s="48">
        <v>2.8578919769270961E-2</v>
      </c>
      <c r="DB78" s="48">
        <v>3.2245730308437359E-2</v>
      </c>
      <c r="DC78" s="48">
        <v>4.4079515989628337E-2</v>
      </c>
      <c r="DD78" s="48">
        <v>3.22847682119205E-2</v>
      </c>
      <c r="DE78" s="48">
        <v>1.3632718524458687E-2</v>
      </c>
      <c r="DF78" s="549">
        <v>2.192585895117527E-2</v>
      </c>
      <c r="DG78" s="549">
        <v>1.9022340190223419E-2</v>
      </c>
      <c r="DH78" s="549">
        <v>1.9752550466681118E-2</v>
      </c>
      <c r="DI78" s="549">
        <v>6.4282673478075925E-2</v>
      </c>
      <c r="DJ78" s="549">
        <v>8.4600000000000009E-2</v>
      </c>
      <c r="DK78" s="549">
        <v>3.2362161165406578E-2</v>
      </c>
      <c r="DL78" s="49">
        <v>1.9648120032151439E-2</v>
      </c>
      <c r="DM78" s="47">
        <v>1.2612770430060483E-2</v>
      </c>
      <c r="DN78" s="47">
        <v>2.1899999999999809E-2</v>
      </c>
      <c r="DO78" s="47">
        <v>2.1899999999999809E-2</v>
      </c>
      <c r="DP78" s="47">
        <v>2.1899999999999809E-2</v>
      </c>
      <c r="DQ78" s="47">
        <v>2.1899999999999809E-2</v>
      </c>
      <c r="DR78" s="47">
        <v>2.1899999999999809E-2</v>
      </c>
      <c r="DS78" s="47">
        <v>2.1899999999999809E-2</v>
      </c>
      <c r="DT78" s="47">
        <v>2.1899999999999809E-2</v>
      </c>
      <c r="DU78" s="47">
        <v>2.1899999999999809E-2</v>
      </c>
      <c r="DV78" s="47">
        <v>2.1899999999999809E-2</v>
      </c>
      <c r="DW78" s="47">
        <v>2.1899999999999809E-2</v>
      </c>
      <c r="DX78" s="47">
        <v>2.1899999999999809E-2</v>
      </c>
      <c r="DY78" s="47">
        <v>2.1899999999999809E-2</v>
      </c>
      <c r="DZ78" s="47">
        <v>2.1899999999999809E-2</v>
      </c>
      <c r="EA78" s="47">
        <v>2.1899999999999809E-2</v>
      </c>
      <c r="EB78" s="47">
        <v>2.1899999999999809E-2</v>
      </c>
    </row>
    <row r="79" spans="1:132">
      <c r="A79" s="43" t="s">
        <v>462</v>
      </c>
      <c r="B79" s="43"/>
      <c r="C79" s="43"/>
      <c r="D79" s="43"/>
      <c r="E79" s="43"/>
      <c r="F79" s="48"/>
      <c r="G79" s="48">
        <v>2.2424667133847276E-2</v>
      </c>
      <c r="H79" s="48">
        <v>2.2727272727272707E-2</v>
      </c>
      <c r="I79" s="48">
        <v>3.1601123595505598E-2</v>
      </c>
      <c r="J79" s="48">
        <v>3.1879657742202694E-2</v>
      </c>
      <c r="K79" s="48">
        <v>3.2350925291295463E-2</v>
      </c>
      <c r="L79" s="48">
        <v>3.7311385459533497E-2</v>
      </c>
      <c r="M79" s="48">
        <v>3.7304288631722082E-2</v>
      </c>
      <c r="N79" s="48">
        <v>3.3970843921358851E-2</v>
      </c>
      <c r="O79" s="48">
        <v>3.200106227592614E-2</v>
      </c>
      <c r="P79" s="48">
        <v>3.0944194657497981E-2</v>
      </c>
      <c r="Q79" s="48">
        <v>2.4412652579078653E-2</v>
      </c>
      <c r="R79" s="48">
        <v>1.9143707153020273E-2</v>
      </c>
      <c r="S79" s="48">
        <v>2.1487390633041725E-2</v>
      </c>
      <c r="T79" s="48">
        <v>2.2703950743971468E-2</v>
      </c>
      <c r="U79" s="48">
        <v>1.9346572709801446E-2</v>
      </c>
      <c r="V79" s="48">
        <v>2.5130092651351577E-2</v>
      </c>
      <c r="W79" s="48">
        <v>2.7963219549061558E-2</v>
      </c>
      <c r="X79" s="48">
        <v>2.8596513232158616E-2</v>
      </c>
      <c r="Y79" s="48">
        <v>3.6576168929109976E-2</v>
      </c>
      <c r="Z79" s="48">
        <v>4.5561470843134888E-2</v>
      </c>
      <c r="AA79" s="48">
        <v>4.4112241146918141E-2</v>
      </c>
      <c r="AB79" s="48">
        <v>5.3408120960858341E-2</v>
      </c>
      <c r="AC79" s="48">
        <v>6.7660967624590729E-2</v>
      </c>
      <c r="AD79" s="48">
        <v>7.9692125518058043E-2</v>
      </c>
      <c r="AE79" s="48">
        <v>8.6022767280835799E-2</v>
      </c>
      <c r="AF79" s="48">
        <v>7.2809352934367411E-2</v>
      </c>
      <c r="AG79" s="48">
        <v>5.7467348097671733E-2</v>
      </c>
      <c r="AH79" s="48">
        <v>4.6940118447027723E-2</v>
      </c>
      <c r="AI79" s="48">
        <v>3.9874648800518608E-2</v>
      </c>
      <c r="AJ79" s="48">
        <v>3.9706517047906731E-2</v>
      </c>
      <c r="AK79" s="48">
        <v>4.0919342712920193E-2</v>
      </c>
      <c r="AL79" s="48">
        <v>3.1322019694112857E-2</v>
      </c>
      <c r="AM79" s="48">
        <v>3.2006650732619768E-2</v>
      </c>
      <c r="AN79" s="48">
        <v>3.2274802822747972E-2</v>
      </c>
      <c r="AO79" s="48">
        <v>3.1778786628146927E-2</v>
      </c>
      <c r="AP79" s="48">
        <v>3.2199085830370677E-2</v>
      </c>
      <c r="AQ79" s="48">
        <v>3.4236229986909672E-2</v>
      </c>
      <c r="AR79" s="549">
        <v>3.8101940283502556E-2</v>
      </c>
      <c r="AS79" s="549">
        <v>3.8000000000000034E-2</v>
      </c>
      <c r="AT79" s="549">
        <v>3.8476677819326843E-2</v>
      </c>
      <c r="AU79" s="549">
        <v>2.2003699737124016E-2</v>
      </c>
      <c r="AV79" s="549">
        <v>1.96591129188457E-2</v>
      </c>
      <c r="AW79" s="549">
        <v>1.6184971098265999E-2</v>
      </c>
      <c r="AX79" s="549">
        <v>1.5066805647683257E-2</v>
      </c>
      <c r="AY79" s="549">
        <v>3.6296084595598854E-2</v>
      </c>
      <c r="AZ79" s="549">
        <v>4.511349605850512E-2</v>
      </c>
      <c r="BA79" s="549">
        <v>5.6219188471748227E-2</v>
      </c>
      <c r="BB79" s="549">
        <v>8.53248693054518E-2</v>
      </c>
      <c r="BC79" s="549">
        <v>9.6800882515168274E-2</v>
      </c>
      <c r="BD79" s="549">
        <v>0.11441294074881858</v>
      </c>
      <c r="BE79" s="549">
        <v>0.13122699937169013</v>
      </c>
      <c r="BF79" s="549">
        <v>0.13340787889213845</v>
      </c>
      <c r="BG79" s="549">
        <v>0.1212806973430558</v>
      </c>
      <c r="BH79" s="549">
        <v>0.10992416211367551</v>
      </c>
      <c r="BI79" s="549">
        <v>9.2755693088947044E-2</v>
      </c>
      <c r="BJ79" s="549">
        <v>7.3689003566820732E-2</v>
      </c>
      <c r="BK79" s="549">
        <v>7.1759605322170739E-2</v>
      </c>
      <c r="BL79" s="549">
        <v>5.8114760120490772E-2</v>
      </c>
      <c r="BM79" s="549">
        <v>5.1989544002323473E-2</v>
      </c>
      <c r="BN79" s="549">
        <v>5.0890585241730513E-2</v>
      </c>
      <c r="BO79" s="549">
        <v>4.8263356116613254E-2</v>
      </c>
      <c r="BP79" s="49">
        <v>5.1798361338702748E-2</v>
      </c>
      <c r="BQ79" s="47">
        <v>5.1007730535615803E-2</v>
      </c>
      <c r="BR79" s="47">
        <v>5.0200000000000244E-2</v>
      </c>
      <c r="BS79" s="47">
        <v>4.8700000000000188E-2</v>
      </c>
      <c r="BT79" s="47">
        <v>4.6999999999999931E-2</v>
      </c>
      <c r="BU79" s="47">
        <v>4.4999999999999707E-2</v>
      </c>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78"/>
      <c r="CW79" s="78"/>
      <c r="CX79" s="43"/>
      <c r="CY79" s="43"/>
      <c r="CZ79" s="48">
        <v>2.4412652579078653E-2</v>
      </c>
      <c r="DA79" s="48">
        <v>1.9346572709801446E-2</v>
      </c>
      <c r="DB79" s="48">
        <v>3.6576168929109976E-2</v>
      </c>
      <c r="DC79" s="48">
        <v>6.7660967624590729E-2</v>
      </c>
      <c r="DD79" s="48">
        <v>5.7467348097671733E-2</v>
      </c>
      <c r="DE79" s="48">
        <v>4.0919342712920193E-2</v>
      </c>
      <c r="DF79" s="549">
        <v>3.1778786628146927E-2</v>
      </c>
      <c r="DG79" s="549">
        <v>3.8000000000000034E-2</v>
      </c>
      <c r="DH79" s="549">
        <v>1.6184971098265999E-2</v>
      </c>
      <c r="DI79" s="549">
        <v>5.6219188471748227E-2</v>
      </c>
      <c r="DJ79" s="549">
        <v>0.13122699937169013</v>
      </c>
      <c r="DK79" s="549">
        <v>9.2755693088947044E-2</v>
      </c>
      <c r="DL79" s="49">
        <v>5.1989544002323473E-2</v>
      </c>
      <c r="DM79" s="47">
        <v>5.1007730535615803E-2</v>
      </c>
      <c r="DN79" s="47">
        <v>4.4999999999999707E-2</v>
      </c>
      <c r="DO79" s="47">
        <v>4.4999999999999707E-2</v>
      </c>
      <c r="DP79" s="47">
        <v>4.4999999999999707E-2</v>
      </c>
      <c r="DQ79" s="47">
        <v>4.4999999999999707E-2</v>
      </c>
      <c r="DR79" s="47">
        <v>4.4999999999999707E-2</v>
      </c>
      <c r="DS79" s="47">
        <v>4.4999999999999707E-2</v>
      </c>
      <c r="DT79" s="47">
        <v>4.4999999999999707E-2</v>
      </c>
      <c r="DU79" s="47">
        <v>4.4999999999999707E-2</v>
      </c>
      <c r="DV79" s="47">
        <v>4.4999999999999707E-2</v>
      </c>
      <c r="DW79" s="47">
        <v>4.4999999999999707E-2</v>
      </c>
      <c r="DX79" s="47">
        <v>4.4999999999999707E-2</v>
      </c>
      <c r="DY79" s="47">
        <v>4.4999999999999707E-2</v>
      </c>
      <c r="DZ79" s="47">
        <v>4.4999999999999707E-2</v>
      </c>
      <c r="EA79" s="47">
        <v>4.4999999999999707E-2</v>
      </c>
      <c r="EB79" s="47">
        <v>4.4999999999999707E-2</v>
      </c>
    </row>
    <row r="80" spans="1:132">
      <c r="A80" s="43" t="s">
        <v>463</v>
      </c>
      <c r="B80" s="43"/>
      <c r="C80" s="43"/>
      <c r="D80" s="43"/>
      <c r="E80" s="43"/>
      <c r="F80" s="48"/>
      <c r="G80" s="48">
        <v>0.21749438432092205</v>
      </c>
      <c r="H80" s="48">
        <v>0.22987092233979189</v>
      </c>
      <c r="I80" s="48">
        <v>0.22922618524849292</v>
      </c>
      <c r="J80" s="48">
        <v>0.20501198079714644</v>
      </c>
      <c r="K80" s="48">
        <v>0.21551955331915584</v>
      </c>
      <c r="L80" s="48">
        <v>0.2193786580418533</v>
      </c>
      <c r="M80" s="48">
        <v>0.21238587820691102</v>
      </c>
      <c r="N80" s="48">
        <v>0.21892434486942203</v>
      </c>
      <c r="O80" s="48">
        <v>0.22132899514717952</v>
      </c>
      <c r="P80" s="48">
        <v>0.22802809469905627</v>
      </c>
      <c r="Q80" s="48">
        <v>0.23897181076000051</v>
      </c>
      <c r="R80" s="48">
        <v>0.22789434895616822</v>
      </c>
      <c r="S80" s="48">
        <v>0.2307054233738195</v>
      </c>
      <c r="T80" s="48">
        <v>0.24397490159489199</v>
      </c>
      <c r="U80" s="48">
        <v>0.2640263506237186</v>
      </c>
      <c r="V80" s="48">
        <v>0.3613807353317593</v>
      </c>
      <c r="W80" s="48">
        <v>0.40156261516916048</v>
      </c>
      <c r="X80" s="48">
        <v>0.40263593706872758</v>
      </c>
      <c r="Y80" s="48">
        <v>0.38036888946214331</v>
      </c>
      <c r="Z80" s="48">
        <v>0.28031854379977239</v>
      </c>
      <c r="AA80" s="48">
        <v>0.2552721535629765</v>
      </c>
      <c r="AB80" s="48">
        <v>0.24036995129630556</v>
      </c>
      <c r="AC80" s="48">
        <v>0.26924873855354203</v>
      </c>
      <c r="AD80" s="48">
        <v>0.35018660031988702</v>
      </c>
      <c r="AE80" s="48">
        <v>0.45732223628974933</v>
      </c>
      <c r="AF80" s="48">
        <v>0.42555619287407054</v>
      </c>
      <c r="AG80" s="48">
        <v>0.39296870420172958</v>
      </c>
      <c r="AH80" s="48">
        <v>0.32273165985277874</v>
      </c>
      <c r="AI80" s="48">
        <v>0.21787171394570248</v>
      </c>
      <c r="AJ80" s="48">
        <v>0.23855582677502096</v>
      </c>
      <c r="AK80" s="48">
        <v>0.24825717834665229</v>
      </c>
      <c r="AL80" s="48">
        <v>0.25316435670862725</v>
      </c>
      <c r="AM80" s="48">
        <v>0.2929867215727735</v>
      </c>
      <c r="AN80" s="48">
        <v>0.40373391737305564</v>
      </c>
      <c r="AO80" s="48">
        <v>0.47635160315840164</v>
      </c>
      <c r="AP80" s="48">
        <v>0.54819564540301746</v>
      </c>
      <c r="AQ80" s="48">
        <v>0.5588364316229657</v>
      </c>
      <c r="AR80" s="549">
        <v>0.53800207622330376</v>
      </c>
      <c r="AS80" s="549">
        <v>0.53961738645159807</v>
      </c>
      <c r="AT80" s="549">
        <v>0.48413889072761362</v>
      </c>
      <c r="AU80" s="549">
        <v>0.42842689110559284</v>
      </c>
      <c r="AV80" s="549">
        <v>0.36620551022821313</v>
      </c>
      <c r="AW80" s="549">
        <v>0.36141687835167935</v>
      </c>
      <c r="AX80" s="549">
        <v>0.4265095729013253</v>
      </c>
      <c r="AY80" s="549">
        <v>0.50200329223219553</v>
      </c>
      <c r="AZ80" s="549">
        <v>0.52472448214182665</v>
      </c>
      <c r="BA80" s="549">
        <v>0.5094329843474652</v>
      </c>
      <c r="BB80" s="549">
        <v>0.55105880193635626</v>
      </c>
      <c r="BC80" s="549">
        <v>0.63984698097601256</v>
      </c>
      <c r="BD80" s="549">
        <v>0.83029328287606385</v>
      </c>
      <c r="BE80" s="549">
        <v>0.94792775469560109</v>
      </c>
      <c r="BF80" s="549">
        <v>1.0429547673283439</v>
      </c>
      <c r="BG80" s="549">
        <v>1.1557948627416366</v>
      </c>
      <c r="BH80" s="549">
        <v>1.3828141960695128</v>
      </c>
      <c r="BI80" s="549">
        <v>2.1140676367674671</v>
      </c>
      <c r="BJ80" s="549">
        <v>2.8786889281473549</v>
      </c>
      <c r="BK80" s="549">
        <v>2.7152976409824467</v>
      </c>
      <c r="BL80" s="549">
        <v>2.0900161393887857</v>
      </c>
      <c r="BM80" s="549">
        <v>1.1776383381590008</v>
      </c>
      <c r="BN80" s="549">
        <v>0.55930178511094653</v>
      </c>
      <c r="BO80" s="549">
        <v>0.39420250609678331</v>
      </c>
      <c r="BP80" s="49">
        <v>0.31757565035719093</v>
      </c>
      <c r="BQ80" s="47">
        <v>0.27909373655610015</v>
      </c>
      <c r="BR80" s="47">
        <v>0.25392860468489165</v>
      </c>
      <c r="BS80" s="47">
        <v>0.24171307728831026</v>
      </c>
      <c r="BT80" s="47">
        <v>0.20967546174080409</v>
      </c>
      <c r="BU80" s="47">
        <v>0.18254628239903714</v>
      </c>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78"/>
      <c r="CW80" s="78"/>
      <c r="CX80" s="43"/>
      <c r="CY80" s="43"/>
      <c r="CZ80" s="48">
        <v>0.23897181076000051</v>
      </c>
      <c r="DA80" s="48">
        <v>0.2640263506237186</v>
      </c>
      <c r="DB80" s="48">
        <v>0.38036888946214331</v>
      </c>
      <c r="DC80" s="48">
        <v>0.26924873855354203</v>
      </c>
      <c r="DD80" s="48">
        <v>0.39296870420172958</v>
      </c>
      <c r="DE80" s="48">
        <v>0.24825717834665229</v>
      </c>
      <c r="DF80" s="549">
        <v>0.47635160315840164</v>
      </c>
      <c r="DG80" s="549">
        <v>0.53961738645159807</v>
      </c>
      <c r="DH80" s="549">
        <v>0.36141687835167935</v>
      </c>
      <c r="DI80" s="549">
        <v>0.5094329843474652</v>
      </c>
      <c r="DJ80" s="549">
        <v>0.94792775469560109</v>
      </c>
      <c r="DK80" s="549">
        <v>2.1140676367674671</v>
      </c>
      <c r="DL80" s="49">
        <v>1.1776383381590008</v>
      </c>
      <c r="DM80" s="47">
        <v>0.27909373655610015</v>
      </c>
      <c r="DN80" s="47">
        <v>0.18254628239903714</v>
      </c>
      <c r="DO80" s="47">
        <v>0.10000000000000009</v>
      </c>
      <c r="DP80" s="47">
        <v>8.0000000000000071E-2</v>
      </c>
      <c r="DQ80" s="47">
        <v>8.0000000000000071E-2</v>
      </c>
      <c r="DR80" s="47">
        <v>8.0000000000000071E-2</v>
      </c>
      <c r="DS80" s="47">
        <v>8.0000000000000071E-2</v>
      </c>
      <c r="DT80" s="47">
        <v>8.0000000000000071E-2</v>
      </c>
      <c r="DU80" s="47">
        <v>8.0000000000000071E-2</v>
      </c>
      <c r="DV80" s="47">
        <v>8.0000000000000071E-2</v>
      </c>
      <c r="DW80" s="47">
        <v>8.0000000000000071E-2</v>
      </c>
      <c r="DX80" s="47">
        <v>8.0000000000000071E-2</v>
      </c>
      <c r="DY80" s="47">
        <v>8.0000000000000071E-2</v>
      </c>
      <c r="DZ80" s="47">
        <v>8.0000000000000071E-2</v>
      </c>
      <c r="EA80" s="47">
        <v>8.0000000000000071E-2</v>
      </c>
      <c r="EB80" s="47">
        <v>8.0000000000000071E-2</v>
      </c>
    </row>
    <row r="81" spans="1:132">
      <c r="A81" s="43" t="s">
        <v>465</v>
      </c>
      <c r="B81" s="43"/>
      <c r="C81" s="43"/>
      <c r="D81" s="43"/>
      <c r="E81" s="43"/>
      <c r="F81" s="48"/>
      <c r="G81" s="48">
        <v>4.8410906272117415E-2</v>
      </c>
      <c r="H81" s="48">
        <v>4.7042195972309298E-2</v>
      </c>
      <c r="I81" s="48">
        <v>5.9086887217945305E-2</v>
      </c>
      <c r="J81" s="48">
        <v>6.2989876163202174E-2</v>
      </c>
      <c r="K81" s="48">
        <v>6.7125507114063065E-2</v>
      </c>
      <c r="L81" s="48">
        <v>7.3109020596297869E-2</v>
      </c>
      <c r="M81" s="48">
        <v>6.5033527436801686E-2</v>
      </c>
      <c r="N81" s="48">
        <v>5.2399919361243219E-2</v>
      </c>
      <c r="O81" s="48">
        <v>4.9154252835474477E-2</v>
      </c>
      <c r="P81" s="48">
        <v>5.2822033772001786E-2</v>
      </c>
      <c r="Q81" s="48">
        <v>5.8385947181474496E-2</v>
      </c>
      <c r="R81" s="48">
        <v>6.588765923358908E-2</v>
      </c>
      <c r="S81" s="48">
        <v>6.6959158358983917E-2</v>
      </c>
      <c r="T81" s="48">
        <v>5.858620748231913E-2</v>
      </c>
      <c r="U81" s="48">
        <v>5.910683255331084E-2</v>
      </c>
      <c r="V81" s="48">
        <v>6.1528910091982913E-2</v>
      </c>
      <c r="W81" s="48">
        <v>6.5232836013692452E-2</v>
      </c>
      <c r="X81" s="48">
        <v>6.7464743152562567E-2</v>
      </c>
      <c r="Y81" s="48">
        <v>6.4074707959081545E-2</v>
      </c>
      <c r="Z81" s="48">
        <v>8.1285046609104405E-2</v>
      </c>
      <c r="AA81" s="48">
        <v>8.894429960185124E-2</v>
      </c>
      <c r="AB81" s="48">
        <v>9.4927892083663146E-2</v>
      </c>
      <c r="AC81" s="48">
        <v>0.1067302813397506</v>
      </c>
      <c r="AD81" s="48">
        <v>9.3863723708620617E-2</v>
      </c>
      <c r="AE81" s="48">
        <v>8.8437473175281056E-2</v>
      </c>
      <c r="AF81" s="48">
        <v>8.4759686232872333E-2</v>
      </c>
      <c r="AG81" s="48">
        <v>6.2879882132213849E-2</v>
      </c>
      <c r="AH81" s="48">
        <v>4.5711051156818838E-2</v>
      </c>
      <c r="AI81" s="48">
        <v>2.9985569924055655E-2</v>
      </c>
      <c r="AJ81" s="48">
        <v>2.5376909332922803E-2</v>
      </c>
      <c r="AK81" s="48">
        <v>2.9474213204347066E-2</v>
      </c>
      <c r="AL81" s="48">
        <v>2.6808027890635966E-2</v>
      </c>
      <c r="AM81" s="48">
        <v>4.3911039739087387E-2</v>
      </c>
      <c r="AN81" s="48">
        <v>4.5259760164416463E-2</v>
      </c>
      <c r="AO81" s="48">
        <v>3.7455811701915476E-2</v>
      </c>
      <c r="AP81" s="48">
        <v>4.5752835314434748E-2</v>
      </c>
      <c r="AQ81" s="48">
        <v>3.3662671524801624E-2</v>
      </c>
      <c r="AR81" s="549">
        <v>2.8934248931768991E-2</v>
      </c>
      <c r="AS81" s="549">
        <v>4.306151617159526E-2</v>
      </c>
      <c r="AT81" s="549">
        <v>3.303157719890204E-2</v>
      </c>
      <c r="AU81" s="549">
        <v>2.1324173853674466E-2</v>
      </c>
      <c r="AV81" s="549">
        <v>3.1353293138274951E-2</v>
      </c>
      <c r="AW81" s="549">
        <v>4.517456886424509E-2</v>
      </c>
      <c r="AX81" s="549">
        <v>6.0994785444116184E-2</v>
      </c>
      <c r="AY81" s="549">
        <v>8.3470723655796775E-2</v>
      </c>
      <c r="AZ81" s="549">
        <v>0.10246394955255722</v>
      </c>
      <c r="BA81" s="549">
        <v>0.10060982737443336</v>
      </c>
      <c r="BB81" s="549">
        <v>0.11299412129585251</v>
      </c>
      <c r="BC81" s="549">
        <v>0.11886869625198027</v>
      </c>
      <c r="BD81" s="549">
        <v>7.1688247891645851E-2</v>
      </c>
      <c r="BE81" s="549">
        <v>5.7850929078894886E-2</v>
      </c>
      <c r="BF81" s="549">
        <v>4.6507798534815903E-2</v>
      </c>
      <c r="BG81" s="549">
        <v>3.1614737021461004E-2</v>
      </c>
      <c r="BH81" s="549">
        <v>5.1852805344769548E-2</v>
      </c>
      <c r="BI81" s="549">
        <v>4.62119000508181E-2</v>
      </c>
      <c r="BJ81" s="549">
        <v>3.925612019964686E-2</v>
      </c>
      <c r="BK81" s="549">
        <v>4.2276593668120643E-2</v>
      </c>
      <c r="BL81" s="549">
        <v>4.424788005957625E-2</v>
      </c>
      <c r="BM81" s="549">
        <v>4.8311967483947837E-2</v>
      </c>
      <c r="BN81" s="549">
        <v>5.4772504272732725E-2</v>
      </c>
      <c r="BO81" s="549">
        <v>5.3512852390906307E-2</v>
      </c>
      <c r="BP81" s="49">
        <v>5.1722487012569429E-2</v>
      </c>
      <c r="BQ81" s="47">
        <v>4.2643475811562581E-2</v>
      </c>
      <c r="BR81" s="47">
        <v>3.9800000000000058E-2</v>
      </c>
      <c r="BS81" s="47">
        <v>3.6000000000000032E-2</v>
      </c>
      <c r="BT81" s="47">
        <v>3.6000000000000032E-2</v>
      </c>
      <c r="BU81" s="47">
        <v>4.0100000000000025E-2</v>
      </c>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565"/>
      <c r="CW81" s="78"/>
      <c r="CX81" s="43"/>
      <c r="CY81" s="43"/>
      <c r="CZ81" s="48">
        <v>5.8385947181474496E-2</v>
      </c>
      <c r="DA81" s="48">
        <v>5.910683255331084E-2</v>
      </c>
      <c r="DB81" s="48">
        <v>6.4074707959081545E-2</v>
      </c>
      <c r="DC81" s="48">
        <v>0.1067302813397506</v>
      </c>
      <c r="DD81" s="48">
        <v>6.2879882132213849E-2</v>
      </c>
      <c r="DE81" s="48">
        <v>2.9474213204347066E-2</v>
      </c>
      <c r="DF81" s="549">
        <v>3.7455811701915476E-2</v>
      </c>
      <c r="DG81" s="549">
        <v>4.306151617159526E-2</v>
      </c>
      <c r="DH81" s="549">
        <v>4.517456886424509E-2</v>
      </c>
      <c r="DI81" s="549">
        <v>0.10060982737443336</v>
      </c>
      <c r="DJ81" s="549">
        <v>5.7850929078894886E-2</v>
      </c>
      <c r="DK81" s="549">
        <v>4.62119000508181E-2</v>
      </c>
      <c r="DL81" s="49">
        <v>4.8311967483947837E-2</v>
      </c>
      <c r="DM81" s="47">
        <v>4.2643475811562581E-2</v>
      </c>
      <c r="DN81" s="47">
        <v>4.0100000000000025E-2</v>
      </c>
      <c r="DO81" s="47">
        <v>4.0100000000000025E-2</v>
      </c>
      <c r="DP81" s="47">
        <v>4.0100000000000025E-2</v>
      </c>
      <c r="DQ81" s="47">
        <v>4.0100000000000025E-2</v>
      </c>
      <c r="DR81" s="47">
        <v>4.0100000000000025E-2</v>
      </c>
      <c r="DS81" s="47">
        <v>4.0100000000000025E-2</v>
      </c>
      <c r="DT81" s="47">
        <v>4.0100000000000025E-2</v>
      </c>
      <c r="DU81" s="47">
        <v>4.0100000000000025E-2</v>
      </c>
      <c r="DV81" s="47">
        <v>4.0100000000000025E-2</v>
      </c>
      <c r="DW81" s="47">
        <v>4.0100000000000025E-2</v>
      </c>
      <c r="DX81" s="47">
        <v>4.0100000000000025E-2</v>
      </c>
      <c r="DY81" s="47">
        <v>4.0100000000000025E-2</v>
      </c>
      <c r="DZ81" s="47">
        <v>4.0100000000000025E-2</v>
      </c>
      <c r="EA81" s="47">
        <v>4.0100000000000025E-2</v>
      </c>
      <c r="EB81" s="47">
        <v>4.0100000000000025E-2</v>
      </c>
    </row>
    <row r="82" spans="1:132">
      <c r="A82" s="43" t="s">
        <v>466</v>
      </c>
      <c r="B82" s="43"/>
      <c r="C82" s="43"/>
      <c r="D82" s="43"/>
      <c r="E82" s="43"/>
      <c r="F82" s="48"/>
      <c r="G82" s="48">
        <v>4.3352601156069426E-2</v>
      </c>
      <c r="H82" s="48">
        <v>3.8571428571428701E-2</v>
      </c>
      <c r="I82" s="48">
        <v>7.2237960339943452E-2</v>
      </c>
      <c r="J82" s="48">
        <v>0.10292072322670354</v>
      </c>
      <c r="K82" s="48">
        <v>8.8642659279778213E-2</v>
      </c>
      <c r="L82" s="48">
        <v>9.3535075653369937E-2</v>
      </c>
      <c r="M82" s="48">
        <v>4.8877146631439938E-2</v>
      </c>
      <c r="N82" s="48">
        <v>3.2786885245901676E-2</v>
      </c>
      <c r="O82" s="48">
        <v>3.9440203562341125E-2</v>
      </c>
      <c r="P82" s="48">
        <v>2.7672955974842761E-2</v>
      </c>
      <c r="Q82" s="48">
        <v>4.0302267002518821E-2</v>
      </c>
      <c r="R82" s="48">
        <v>1.098901098901095E-2</v>
      </c>
      <c r="S82" s="48">
        <v>1.7135862913096656E-2</v>
      </c>
      <c r="T82" s="48">
        <v>3.1823745410036741E-2</v>
      </c>
      <c r="U82" s="48">
        <v>3.7530266343825724E-2</v>
      </c>
      <c r="V82" s="48">
        <v>6.1594202898550776E-2</v>
      </c>
      <c r="W82" s="48">
        <v>6.3778580024067555E-2</v>
      </c>
      <c r="X82" s="48">
        <v>4.1518386714116229E-2</v>
      </c>
      <c r="Y82" s="48">
        <v>4.200700116686118E-2</v>
      </c>
      <c r="Z82" s="48">
        <v>2.6166097838452806E-2</v>
      </c>
      <c r="AA82" s="48">
        <v>2.488687782805421E-2</v>
      </c>
      <c r="AB82" s="48">
        <v>3.758542141230059E-2</v>
      </c>
      <c r="AC82" s="48">
        <v>3.1354983202687592E-2</v>
      </c>
      <c r="AD82" s="48">
        <v>4.7671840354767125E-2</v>
      </c>
      <c r="AE82" s="48">
        <v>4.635761589403975E-2</v>
      </c>
      <c r="AF82" s="48">
        <v>3.5126234906695863E-2</v>
      </c>
      <c r="AG82" s="48">
        <v>3.9087947882736174E-2</v>
      </c>
      <c r="AH82" s="48">
        <v>2.7513227513227489E-2</v>
      </c>
      <c r="AI82" s="48">
        <v>2.9535864978902815E-2</v>
      </c>
      <c r="AJ82" s="48">
        <v>4.2417815482502563E-2</v>
      </c>
      <c r="AK82" s="48">
        <v>4.4932079414838011E-2</v>
      </c>
      <c r="AL82" s="48">
        <v>4.1194644696189497E-2</v>
      </c>
      <c r="AM82" s="48">
        <v>4.4057377049180557E-2</v>
      </c>
      <c r="AN82" s="48">
        <v>3.9674465920651159E-2</v>
      </c>
      <c r="AO82" s="48">
        <v>3.2000000000000028E-2</v>
      </c>
      <c r="AP82" s="48">
        <v>2.7695351137487778E-2</v>
      </c>
      <c r="AQ82" s="48">
        <v>2.8459273797840856E-2</v>
      </c>
      <c r="AR82" s="549">
        <v>2.6418786692759433E-2</v>
      </c>
      <c r="AS82" s="549">
        <v>2.8100775193798277E-2</v>
      </c>
      <c r="AT82" s="549">
        <v>2.5024061597689995E-2</v>
      </c>
      <c r="AU82" s="549">
        <v>4.7709923664123188E-3</v>
      </c>
      <c r="AV82" s="549">
        <v>1.6205910390848288E-2</v>
      </c>
      <c r="AW82" s="549">
        <v>2.1677662582469504E-2</v>
      </c>
      <c r="AX82" s="549">
        <v>2.4413145539906145E-2</v>
      </c>
      <c r="AY82" s="549">
        <v>4.4634377967711414E-2</v>
      </c>
      <c r="AZ82" s="549">
        <v>6.3789868667917471E-2</v>
      </c>
      <c r="BA82" s="549">
        <v>6.8265682656826421E-2</v>
      </c>
      <c r="BB82" s="549">
        <v>0.10082493125572878</v>
      </c>
      <c r="BC82" s="549">
        <v>0.11545454545454548</v>
      </c>
      <c r="BD82" s="549">
        <v>9.347442680776008E-2</v>
      </c>
      <c r="BE82" s="549">
        <v>8.1174438687392048E-2</v>
      </c>
      <c r="BF82" s="549">
        <v>6.4113238967527186E-2</v>
      </c>
      <c r="BG82" s="549">
        <v>4.2379788101059468E-2</v>
      </c>
      <c r="BH82" s="549">
        <v>3.4677419354838701E-2</v>
      </c>
      <c r="BI82" s="549">
        <v>3.6741214057508076E-2</v>
      </c>
      <c r="BJ82" s="549">
        <v>3.5993740219092407E-2</v>
      </c>
      <c r="BK82" s="549">
        <v>4.300234558248639E-2</v>
      </c>
      <c r="BL82" s="549">
        <v>4.0530007794232104E-2</v>
      </c>
      <c r="BM82" s="549">
        <v>3.7750385208012105E-2</v>
      </c>
      <c r="BN82" s="549">
        <v>4.3806646525679671E-2</v>
      </c>
      <c r="BO82" s="549">
        <v>3.9730134932533634E-2</v>
      </c>
      <c r="BP82" s="49">
        <v>4.2696629213483162E-2</v>
      </c>
      <c r="BQ82" s="47">
        <v>3.1180400890868709E-2</v>
      </c>
      <c r="BR82" s="47">
        <v>2.27860635187771E-2</v>
      </c>
      <c r="BS82" s="47">
        <v>2.4595158056933908E-2</v>
      </c>
      <c r="BT82" s="47">
        <v>3.2701685966616711E-2</v>
      </c>
      <c r="BU82" s="47">
        <v>4.9091485826312731E-2</v>
      </c>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78"/>
      <c r="CW82" s="78"/>
      <c r="CX82" s="43"/>
      <c r="CY82" s="43"/>
      <c r="CZ82" s="48">
        <v>4.0302267002518821E-2</v>
      </c>
      <c r="DA82" s="48">
        <v>3.7530266343825724E-2</v>
      </c>
      <c r="DB82" s="48">
        <v>4.200700116686118E-2</v>
      </c>
      <c r="DC82" s="48">
        <v>3.1354983202687592E-2</v>
      </c>
      <c r="DD82" s="48">
        <v>3.9087947882736174E-2</v>
      </c>
      <c r="DE82" s="48">
        <v>4.4932079414838011E-2</v>
      </c>
      <c r="DF82" s="549">
        <v>3.2000000000000028E-2</v>
      </c>
      <c r="DG82" s="549">
        <v>2.8100775193798277E-2</v>
      </c>
      <c r="DH82" s="549">
        <v>2.1677662582469504E-2</v>
      </c>
      <c r="DI82" s="549">
        <v>6.8265682656826421E-2</v>
      </c>
      <c r="DJ82" s="549">
        <v>8.1174438687392048E-2</v>
      </c>
      <c r="DK82" s="549">
        <v>3.6741214057508076E-2</v>
      </c>
      <c r="DL82" s="49">
        <v>3.7750385208012105E-2</v>
      </c>
      <c r="DM82" s="47">
        <v>3.1180400890868709E-2</v>
      </c>
      <c r="DN82" s="47">
        <v>4.9091485826312731E-2</v>
      </c>
      <c r="DO82" s="47">
        <v>4.9091485826312731E-2</v>
      </c>
      <c r="DP82" s="47">
        <v>4.9091485826312731E-2</v>
      </c>
      <c r="DQ82" s="47">
        <v>4.9091485826312731E-2</v>
      </c>
      <c r="DR82" s="47">
        <v>4.9091485826312731E-2</v>
      </c>
      <c r="DS82" s="47">
        <v>4.9091485826312731E-2</v>
      </c>
      <c r="DT82" s="47">
        <v>4.9091485826312731E-2</v>
      </c>
      <c r="DU82" s="47">
        <v>4.9091485826312731E-2</v>
      </c>
      <c r="DV82" s="47">
        <v>4.9091485826312731E-2</v>
      </c>
      <c r="DW82" s="47">
        <v>4.9091485826312731E-2</v>
      </c>
      <c r="DX82" s="47">
        <v>4.9091485826312731E-2</v>
      </c>
      <c r="DY82" s="47">
        <v>4.9091485826312731E-2</v>
      </c>
      <c r="DZ82" s="47">
        <v>4.9091485826312731E-2</v>
      </c>
      <c r="EA82" s="47">
        <v>4.9091485826312731E-2</v>
      </c>
      <c r="EB82" s="47">
        <v>4.9091485826312731E-2</v>
      </c>
    </row>
    <row r="83" spans="1:132">
      <c r="A83" s="43" t="s">
        <v>467</v>
      </c>
      <c r="B83" s="43"/>
      <c r="C83" s="43"/>
      <c r="D83" s="43"/>
      <c r="E83" s="43"/>
      <c r="F83" s="48"/>
      <c r="G83" s="48">
        <v>3.6931065241367023E-2</v>
      </c>
      <c r="H83" s="48">
        <v>3.6991114741010023E-2</v>
      </c>
      <c r="I83" s="48">
        <v>4.4015833494724266E-2</v>
      </c>
      <c r="J83" s="48">
        <v>3.0396096323702437E-2</v>
      </c>
      <c r="K83" s="48">
        <v>3.2764335341453954E-2</v>
      </c>
      <c r="L83" s="48">
        <v>3.1367705410181079E-2</v>
      </c>
      <c r="M83" s="48">
        <v>3.8187132161588755E-2</v>
      </c>
      <c r="N83" s="48">
        <v>3.7292254055874219E-2</v>
      </c>
      <c r="O83" s="48">
        <v>4.3352781898863046E-2</v>
      </c>
      <c r="P83" s="48">
        <v>4.771758784823743E-2</v>
      </c>
      <c r="Q83" s="48">
        <v>3.5682148898864119E-2</v>
      </c>
      <c r="R83" s="48">
        <v>4.2522094938852284E-2</v>
      </c>
      <c r="S83" s="48">
        <v>4.0879336136415034E-2</v>
      </c>
      <c r="T83" s="48">
        <v>3.3902700307531175E-2</v>
      </c>
      <c r="U83" s="48">
        <v>3.9741486095010048E-2</v>
      </c>
      <c r="V83" s="48">
        <v>3.7586979193380277E-2</v>
      </c>
      <c r="W83" s="48">
        <v>3.7526709401709324E-2</v>
      </c>
      <c r="X83" s="48">
        <v>4.2175855296880727E-2</v>
      </c>
      <c r="Y83" s="48">
        <v>4.0812891473210433E-2</v>
      </c>
      <c r="Z83" s="48">
        <v>3.1370453585169544E-2</v>
      </c>
      <c r="AA83" s="48">
        <v>2.8707365547146368E-2</v>
      </c>
      <c r="AB83" s="48">
        <v>2.5189172896491918E-2</v>
      </c>
      <c r="AC83" s="48">
        <v>2.1307733773755944E-2</v>
      </c>
      <c r="AD83" s="48">
        <v>2.6010290914028955E-2</v>
      </c>
      <c r="AE83" s="48">
        <v>2.537965013298793E-2</v>
      </c>
      <c r="AF83" s="48">
        <v>2.9689216477270186E-2</v>
      </c>
      <c r="AG83" s="48">
        <v>3.3602555060934236E-2</v>
      </c>
      <c r="AH83" s="48">
        <v>5.3525747970192494E-2</v>
      </c>
      <c r="AI83" s="48">
        <v>6.3136447091487247E-2</v>
      </c>
      <c r="AJ83" s="48">
        <v>6.3478818075272114E-2</v>
      </c>
      <c r="AK83" s="48">
        <v>6.7731070524451598E-2</v>
      </c>
      <c r="AL83" s="48">
        <v>5.0354456438544082E-2</v>
      </c>
      <c r="AM83" s="48">
        <v>4.646938405873402E-2</v>
      </c>
      <c r="AN83" s="48">
        <v>5.0195902948690474E-2</v>
      </c>
      <c r="AO83" s="48">
        <v>4.8305280499506775E-2</v>
      </c>
      <c r="AP83" s="48">
        <v>4.0041329873095499E-2</v>
      </c>
      <c r="AQ83" s="48">
        <v>3.9471102322983898E-2</v>
      </c>
      <c r="AR83" s="549">
        <v>2.9975128075547142E-2</v>
      </c>
      <c r="AS83" s="549">
        <v>2.8285769753445988E-2</v>
      </c>
      <c r="AT83" s="549">
        <v>3.249062584560658E-2</v>
      </c>
      <c r="AU83" s="549">
        <v>3.3340109778410065E-2</v>
      </c>
      <c r="AV83" s="549">
        <v>4.0137769140482282E-2</v>
      </c>
      <c r="AW83" s="549">
        <v>3.1500745747352177E-2</v>
      </c>
      <c r="AX83" s="549">
        <v>4.6668788258859228E-2</v>
      </c>
      <c r="AY83" s="549">
        <v>5.8786056228511629E-2</v>
      </c>
      <c r="AZ83" s="549">
        <v>6.0001479919344236E-2</v>
      </c>
      <c r="BA83" s="549">
        <v>7.3551079426380284E-2</v>
      </c>
      <c r="BB83" s="549">
        <v>7.453677207039644E-2</v>
      </c>
      <c r="BC83" s="549">
        <v>7.9863384593604536E-2</v>
      </c>
      <c r="BD83" s="549">
        <v>8.6997495658851065E-2</v>
      </c>
      <c r="BE83" s="549">
        <v>7.8170286766460872E-2</v>
      </c>
      <c r="BF83" s="549">
        <v>6.8492580663953584E-2</v>
      </c>
      <c r="BG83" s="549">
        <v>5.0555537347186208E-2</v>
      </c>
      <c r="BH83" s="549">
        <v>4.4544878021369305E-2</v>
      </c>
      <c r="BI83" s="549">
        <v>4.6608896408861566E-2</v>
      </c>
      <c r="BJ83" s="549">
        <v>4.4209394885854625E-2</v>
      </c>
      <c r="BK83" s="549">
        <v>4.9760556569485415E-2</v>
      </c>
      <c r="BL83" s="549">
        <v>4.5803873347679103E-2</v>
      </c>
      <c r="BM83" s="549">
        <v>4.2123393743437321E-2</v>
      </c>
      <c r="BN83" s="549">
        <v>3.8011412374594489E-2</v>
      </c>
      <c r="BO83" s="549">
        <v>4.3174287115324672E-2</v>
      </c>
      <c r="BP83" s="49">
        <v>3.7602880658436089E-2</v>
      </c>
      <c r="BQ83" s="47">
        <v>3.6919441242778017E-2</v>
      </c>
      <c r="BR83" s="47">
        <v>3.5000000000000142E-2</v>
      </c>
      <c r="BS83" s="47">
        <v>3.4999999999999698E-2</v>
      </c>
      <c r="BT83" s="47">
        <v>3.4999999999999698E-2</v>
      </c>
      <c r="BU83" s="47">
        <v>3.499999999999992E-2</v>
      </c>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78"/>
      <c r="CW83" s="78"/>
      <c r="CX83" s="43"/>
      <c r="CY83" s="43"/>
      <c r="CZ83" s="48">
        <v>3.5682148898864119E-2</v>
      </c>
      <c r="DA83" s="48">
        <v>3.9741486095010048E-2</v>
      </c>
      <c r="DB83" s="48">
        <v>4.0812891473210433E-2</v>
      </c>
      <c r="DC83" s="48">
        <v>2.1307733773755944E-2</v>
      </c>
      <c r="DD83" s="48">
        <v>3.3602555060934236E-2</v>
      </c>
      <c r="DE83" s="48">
        <v>6.7731070524451598E-2</v>
      </c>
      <c r="DF83" s="549">
        <v>4.8305280499506775E-2</v>
      </c>
      <c r="DG83" s="549">
        <v>2.8285769753445988E-2</v>
      </c>
      <c r="DH83" s="549">
        <v>3.1500745747352177E-2</v>
      </c>
      <c r="DI83" s="549">
        <v>7.3551079426380284E-2</v>
      </c>
      <c r="DJ83" s="549">
        <v>7.8170286766460872E-2</v>
      </c>
      <c r="DK83" s="549">
        <v>4.6608896408861566E-2</v>
      </c>
      <c r="DL83" s="49">
        <v>4.2123393743437321E-2</v>
      </c>
      <c r="DM83" s="47">
        <v>3.6919441242778017E-2</v>
      </c>
      <c r="DN83" s="47">
        <v>3.499999999999992E-2</v>
      </c>
      <c r="DO83" s="47">
        <v>3.499999999999992E-2</v>
      </c>
      <c r="DP83" s="47">
        <v>3.499999999999992E-2</v>
      </c>
      <c r="DQ83" s="47">
        <v>3.499999999999992E-2</v>
      </c>
      <c r="DR83" s="47">
        <v>3.499999999999992E-2</v>
      </c>
      <c r="DS83" s="47">
        <v>3.499999999999992E-2</v>
      </c>
      <c r="DT83" s="47">
        <v>3.499999999999992E-2</v>
      </c>
      <c r="DU83" s="47">
        <v>3.499999999999992E-2</v>
      </c>
      <c r="DV83" s="47">
        <v>3.499999999999992E-2</v>
      </c>
      <c r="DW83" s="47">
        <v>3.499999999999992E-2</v>
      </c>
      <c r="DX83" s="47">
        <v>3.499999999999992E-2</v>
      </c>
      <c r="DY83" s="47">
        <v>3.499999999999992E-2</v>
      </c>
      <c r="DZ83" s="47">
        <v>3.499999999999992E-2</v>
      </c>
      <c r="EA83" s="47">
        <v>3.499999999999992E-2</v>
      </c>
      <c r="EB83" s="47">
        <v>3.499999999999992E-2</v>
      </c>
    </row>
    <row r="84" spans="1:132">
      <c r="A84" s="43" t="s">
        <v>468</v>
      </c>
      <c r="B84" s="43"/>
      <c r="C84" s="43"/>
      <c r="D84" s="43"/>
      <c r="E84" s="43"/>
      <c r="F84" s="48"/>
      <c r="G84" s="48">
        <v>6.183491515674433E-2</v>
      </c>
      <c r="H84" s="48">
        <v>6.3149031714847093E-2</v>
      </c>
      <c r="I84" s="48">
        <v>6.9235064209938413E-2</v>
      </c>
      <c r="J84" s="48">
        <v>8.1743869209809361E-2</v>
      </c>
      <c r="K84" s="48">
        <v>8.613217768147341E-2</v>
      </c>
      <c r="L84" s="48">
        <v>7.8141499472016873E-2</v>
      </c>
      <c r="M84" s="48">
        <v>8.5900783289817317E-2</v>
      </c>
      <c r="N84" s="48">
        <v>7.4811083123425659E-2</v>
      </c>
      <c r="O84" s="48">
        <v>8.0049875311720697E-2</v>
      </c>
      <c r="P84" s="48">
        <v>8.6434867776689295E-2</v>
      </c>
      <c r="Q84" s="48">
        <v>7.4777590767011182E-2</v>
      </c>
      <c r="R84" s="48">
        <v>8.5305835481602976E-2</v>
      </c>
      <c r="S84" s="48">
        <v>8.2198106672823679E-2</v>
      </c>
      <c r="T84" s="48">
        <v>9.015100292990752E-2</v>
      </c>
      <c r="U84" s="48">
        <v>8.5234899328858971E-2</v>
      </c>
      <c r="V84" s="48">
        <v>9.7387173396674465E-2</v>
      </c>
      <c r="W84" s="48">
        <v>9.0676338809473123E-2</v>
      </c>
      <c r="X84" s="48">
        <v>8.3522844738474156E-2</v>
      </c>
      <c r="Y84" s="48">
        <v>8.2663368377654312E-2</v>
      </c>
      <c r="Z84" s="48">
        <v>7.5364029909484431E-2</v>
      </c>
      <c r="AA84" s="48">
        <v>8.5289514866979665E-2</v>
      </c>
      <c r="AB84" s="48">
        <v>9.1394771990078283E-2</v>
      </c>
      <c r="AC84" s="48">
        <v>9.4440213252094285E-2</v>
      </c>
      <c r="AD84" s="48">
        <v>0.10594693504117103</v>
      </c>
      <c r="AE84" s="48">
        <v>0.10940879596250896</v>
      </c>
      <c r="AF84" s="48">
        <v>8.9160839160839167E-2</v>
      </c>
      <c r="AG84" s="48">
        <v>8.0897703549060562E-2</v>
      </c>
      <c r="AH84" s="48">
        <v>6.7174056915949798E-2</v>
      </c>
      <c r="AI84" s="48">
        <v>5.3127538586514866E-2</v>
      </c>
      <c r="AJ84" s="48">
        <v>5.7463884430176471E-2</v>
      </c>
      <c r="AK84" s="48">
        <v>6.5507806212779629E-2</v>
      </c>
      <c r="AL84" s="48">
        <v>6.6511627906976845E-2</v>
      </c>
      <c r="AM84" s="48">
        <v>8.1147793890774533E-2</v>
      </c>
      <c r="AN84" s="48">
        <v>8.272616879174266E-2</v>
      </c>
      <c r="AO84" s="48">
        <v>7.9607250755286962E-2</v>
      </c>
      <c r="AP84" s="48">
        <v>7.7772932112225579E-2</v>
      </c>
      <c r="AQ84" s="48">
        <v>7.3630136986301276E-2</v>
      </c>
      <c r="AR84" s="549">
        <v>7.7667180709378947E-2</v>
      </c>
      <c r="AS84" s="549">
        <v>8.8008954806212403E-2</v>
      </c>
      <c r="AT84" s="549">
        <v>9.1583490693283087E-2</v>
      </c>
      <c r="AU84" s="549">
        <v>0.10353535353535359</v>
      </c>
      <c r="AV84" s="549">
        <v>9.9258488356966268E-2</v>
      </c>
      <c r="AW84" s="549">
        <v>9.4007201646090444E-2</v>
      </c>
      <c r="AX84" s="549">
        <v>8.3528975657976012E-2</v>
      </c>
      <c r="AY84" s="549">
        <v>7.3346983018186318E-2</v>
      </c>
      <c r="AZ84" s="549">
        <v>7.4082840236686431E-2</v>
      </c>
      <c r="BA84" s="549">
        <v>7.969907135300347E-2</v>
      </c>
      <c r="BB84" s="549">
        <v>9.3739308929182252E-2</v>
      </c>
      <c r="BC84" s="549">
        <v>9.290843806104121E-2</v>
      </c>
      <c r="BD84" s="549">
        <v>9.9493168796826792E-2</v>
      </c>
      <c r="BE84" s="549">
        <v>8.2961350027218383E-2</v>
      </c>
      <c r="BF84" s="549">
        <v>7.3297883432384525E-2</v>
      </c>
      <c r="BG84" s="549">
        <v>5.9753593429157981E-2</v>
      </c>
      <c r="BH84" s="549">
        <v>3.8781441026154884E-2</v>
      </c>
      <c r="BI84" s="549">
        <v>5.107067457524872E-2</v>
      </c>
      <c r="BJ84" s="549">
        <v>3.7983291237614125E-2</v>
      </c>
      <c r="BK84" s="549">
        <v>4.9602790156946464E-2</v>
      </c>
      <c r="BL84" s="549">
        <v>5.3154543700559609E-2</v>
      </c>
      <c r="BM84" s="549">
        <v>5.4901960784313752E-2</v>
      </c>
      <c r="BN84" s="549">
        <v>5.6808610201216636E-2</v>
      </c>
      <c r="BO84" s="549">
        <v>4.5874100055381284E-2</v>
      </c>
      <c r="BP84" s="49">
        <v>4.2502519007053152E-2</v>
      </c>
      <c r="BQ84" s="47">
        <v>3.6540030827817427E-2</v>
      </c>
      <c r="BR84" s="47">
        <v>4.7715556281091587E-2</v>
      </c>
      <c r="BS84" s="47">
        <v>6.0330095185414878E-2</v>
      </c>
      <c r="BT84" s="47">
        <v>7.4361842458061211E-2</v>
      </c>
      <c r="BU84" s="47">
        <v>7.8752004055807401E-2</v>
      </c>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78"/>
      <c r="CW84" s="78"/>
      <c r="CX84" s="43"/>
      <c r="CY84" s="43"/>
      <c r="CZ84" s="48">
        <v>7.4777590767011182E-2</v>
      </c>
      <c r="DA84" s="48">
        <v>8.5234899328858971E-2</v>
      </c>
      <c r="DB84" s="48">
        <v>8.2663368377654312E-2</v>
      </c>
      <c r="DC84" s="48">
        <v>9.4440213252094285E-2</v>
      </c>
      <c r="DD84" s="48">
        <v>8.0897703549060562E-2</v>
      </c>
      <c r="DE84" s="48">
        <v>6.5507806212779629E-2</v>
      </c>
      <c r="DF84" s="549">
        <v>7.9607250755286962E-2</v>
      </c>
      <c r="DG84" s="549">
        <v>8.8008954806212403E-2</v>
      </c>
      <c r="DH84" s="549">
        <v>9.4007201646090444E-2</v>
      </c>
      <c r="DI84" s="549">
        <v>7.969907135300347E-2</v>
      </c>
      <c r="DJ84" s="549">
        <v>8.2961350027218383E-2</v>
      </c>
      <c r="DK84" s="549">
        <v>5.107067457524872E-2</v>
      </c>
      <c r="DL84" s="49">
        <v>5.4901960784313752E-2</v>
      </c>
      <c r="DM84" s="47">
        <v>3.6540030827817427E-2</v>
      </c>
      <c r="DN84" s="47">
        <v>7.8752004055807401E-2</v>
      </c>
      <c r="DO84" s="47">
        <v>7.8752004055807401E-2</v>
      </c>
      <c r="DP84" s="47">
        <v>7.8752004055807401E-2</v>
      </c>
      <c r="DQ84" s="47">
        <v>7.8752004055807401E-2</v>
      </c>
      <c r="DR84" s="47">
        <v>7.8752004055807401E-2</v>
      </c>
      <c r="DS84" s="47">
        <v>7.8752004055807401E-2</v>
      </c>
      <c r="DT84" s="47">
        <v>7.8752004055807401E-2</v>
      </c>
      <c r="DU84" s="47">
        <v>7.8752004055807401E-2</v>
      </c>
      <c r="DV84" s="47">
        <v>7.8752004055807401E-2</v>
      </c>
      <c r="DW84" s="47">
        <v>7.8752004055807401E-2</v>
      </c>
      <c r="DX84" s="47">
        <v>7.8752004055807401E-2</v>
      </c>
      <c r="DY84" s="47">
        <v>7.8752004055807401E-2</v>
      </c>
      <c r="DZ84" s="47">
        <v>7.8752004055807401E-2</v>
      </c>
      <c r="EA84" s="47">
        <v>7.8752004055807401E-2</v>
      </c>
      <c r="EB84" s="47">
        <v>7.8752004055807401E-2</v>
      </c>
    </row>
    <row r="85" spans="1:132">
      <c r="A85" s="53" t="s">
        <v>469</v>
      </c>
      <c r="B85" s="43"/>
      <c r="C85" s="43"/>
      <c r="D85" s="43"/>
      <c r="E85" s="43"/>
      <c r="F85" s="48"/>
      <c r="G85" s="48">
        <v>1.4997575449696265E-2</v>
      </c>
      <c r="H85" s="48">
        <v>2.1286247688173887E-2</v>
      </c>
      <c r="I85" s="48">
        <v>2.9874412565637387E-2</v>
      </c>
      <c r="J85" s="48">
        <v>3.5953785246828796E-2</v>
      </c>
      <c r="K85" s="48">
        <v>3.1849669559678384E-2</v>
      </c>
      <c r="L85" s="48">
        <v>3.141194291636773E-2</v>
      </c>
      <c r="M85" s="48">
        <v>2.3775256328725458E-2</v>
      </c>
      <c r="N85" s="48">
        <v>1.8985226285179513E-2</v>
      </c>
      <c r="O85" s="48">
        <v>1.8960898658406222E-2</v>
      </c>
      <c r="P85" s="48">
        <v>3.4121401517242855E-2</v>
      </c>
      <c r="Q85" s="48">
        <v>2.8682897059785217E-2</v>
      </c>
      <c r="R85" s="48">
        <v>2.4273436987469754E-2</v>
      </c>
      <c r="S85" s="48">
        <v>2.063115986714692E-2</v>
      </c>
      <c r="T85" s="48">
        <v>3.4170145970591204E-3</v>
      </c>
      <c r="U85" s="48">
        <v>2.521346695764537E-3</v>
      </c>
      <c r="V85" s="48">
        <v>-1.4624564999252687E-3</v>
      </c>
      <c r="W85" s="48">
        <v>8.585965656138228E-4</v>
      </c>
      <c r="X85" s="48">
        <v>-1.5430620736625045E-3</v>
      </c>
      <c r="Y85" s="48">
        <v>-1.0419308479161393E-2</v>
      </c>
      <c r="Z85" s="48">
        <v>-6.6388000983524931E-3</v>
      </c>
      <c r="AA85" s="48">
        <v>5.6131580898322042E-4</v>
      </c>
      <c r="AB85" s="48">
        <v>-8.7930593451569505E-3</v>
      </c>
      <c r="AC85" s="48">
        <v>1.8153471584470005E-4</v>
      </c>
      <c r="AD85" s="48">
        <v>-8.4050796383986492E-3</v>
      </c>
      <c r="AE85" s="48">
        <v>-7.9492770497703313E-3</v>
      </c>
      <c r="AF85" s="48">
        <v>1.7849654297359407E-3</v>
      </c>
      <c r="AG85" s="48">
        <v>1.5683887981380096E-2</v>
      </c>
      <c r="AH85" s="48">
        <v>2.2900183418530728E-2</v>
      </c>
      <c r="AI85" s="48">
        <v>1.5097681465595425E-2</v>
      </c>
      <c r="AJ85" s="48">
        <v>1.7925186497074863E-2</v>
      </c>
      <c r="AK85" s="48">
        <v>1.1121389227599421E-2</v>
      </c>
      <c r="AL85" s="48">
        <v>1.2138059820263392E-2</v>
      </c>
      <c r="AM85" s="48">
        <v>2.2745905947150424E-2</v>
      </c>
      <c r="AN85" s="48">
        <v>2.2597142405230253E-2</v>
      </c>
      <c r="AO85" s="48">
        <v>1.1841147728454127E-2</v>
      </c>
      <c r="AP85" s="48">
        <v>1.3376243539882315E-2</v>
      </c>
      <c r="AQ85" s="48">
        <v>4.285626194733716E-3</v>
      </c>
      <c r="AR85" s="549">
        <v>8.3524098249099232E-4</v>
      </c>
      <c r="AS85" s="549">
        <v>7.8804878299376657E-3</v>
      </c>
      <c r="AT85" s="549">
        <v>-1.7585782412143924E-4</v>
      </c>
      <c r="AU85" s="549">
        <v>-3.4179637532105733E-3</v>
      </c>
      <c r="AV85" s="549">
        <v>-3.6987811537312343E-3</v>
      </c>
      <c r="AW85" s="549">
        <v>-5.3213178926766469E-3</v>
      </c>
      <c r="AX85" s="549">
        <v>1.3419277407606733E-2</v>
      </c>
      <c r="AY85" s="549">
        <v>2.7324536632951757E-2</v>
      </c>
      <c r="AZ85" s="549">
        <v>4.0072388831437378E-2</v>
      </c>
      <c r="BA85" s="549">
        <v>6.5499005882714734E-2</v>
      </c>
      <c r="BB85" s="549">
        <v>9.8183748685540584E-2</v>
      </c>
      <c r="BC85" s="549">
        <v>0.10216300501769182</v>
      </c>
      <c r="BD85" s="549">
        <v>8.8719860800397621E-2</v>
      </c>
      <c r="BE85" s="549">
        <v>5.7076900880103754E-2</v>
      </c>
      <c r="BF85" s="549">
        <v>3.29565104215086E-2</v>
      </c>
      <c r="BG85" s="549">
        <v>1.8926786799314366E-2</v>
      </c>
      <c r="BH85" s="549">
        <v>3.5160459551772494E-2</v>
      </c>
      <c r="BI85" s="549">
        <v>3.101939053130609E-2</v>
      </c>
      <c r="BJ85" s="549">
        <v>3.2067032067031986E-2</v>
      </c>
      <c r="BK85" s="549">
        <v>3.4337896292076842E-2</v>
      </c>
      <c r="BL85" s="549">
        <v>1.4653985954758753E-2</v>
      </c>
      <c r="BM85" s="549">
        <v>2.847107000388327E-2</v>
      </c>
      <c r="BN85" s="549">
        <v>2.2550883373737785E-2</v>
      </c>
      <c r="BO85" s="549">
        <v>2.2846177675283075E-2</v>
      </c>
      <c r="BP85" s="49">
        <v>3.0223721621786215E-2</v>
      </c>
      <c r="BQ85" s="47">
        <v>2.5726397446238725E-2</v>
      </c>
      <c r="BR85" s="47">
        <v>2.1800000000000042E-2</v>
      </c>
      <c r="BS85" s="47">
        <v>2.2999999999999687E-2</v>
      </c>
      <c r="BT85" s="47">
        <v>1.9099999999999673E-2</v>
      </c>
      <c r="BU85" s="47">
        <v>1.9000000000000128E-2</v>
      </c>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78"/>
      <c r="CW85" s="78"/>
      <c r="CX85" s="43"/>
      <c r="CY85" s="43"/>
      <c r="CZ85" s="48">
        <v>2.8682897059785217E-2</v>
      </c>
      <c r="DA85" s="48">
        <v>2.521346695764537E-3</v>
      </c>
      <c r="DB85" s="48">
        <v>-1.0419308479161393E-2</v>
      </c>
      <c r="DC85" s="48">
        <v>1.8153471584470005E-4</v>
      </c>
      <c r="DD85" s="48">
        <v>1.5683887981380096E-2</v>
      </c>
      <c r="DE85" s="48">
        <v>1.1121389227599421E-2</v>
      </c>
      <c r="DF85" s="549">
        <v>1.1841147728454127E-2</v>
      </c>
      <c r="DG85" s="549">
        <v>7.8804878299376657E-3</v>
      </c>
      <c r="DH85" s="549">
        <v>-5.3213178926766469E-3</v>
      </c>
      <c r="DI85" s="549">
        <v>6.5499005882714734E-2</v>
      </c>
      <c r="DJ85" s="549">
        <v>5.7076900880103754E-2</v>
      </c>
      <c r="DK85" s="549">
        <v>3.101939053130609E-2</v>
      </c>
      <c r="DL85" s="49">
        <v>2.847107000388327E-2</v>
      </c>
      <c r="DM85" s="47">
        <v>2.5726397446238725E-2</v>
      </c>
      <c r="DN85" s="47">
        <v>1.9000000000000128E-2</v>
      </c>
      <c r="DO85" s="47">
        <v>1.9000000000000128E-2</v>
      </c>
      <c r="DP85" s="47">
        <v>1.9000000000000128E-2</v>
      </c>
      <c r="DQ85" s="47">
        <v>1.9000000000000128E-2</v>
      </c>
      <c r="DR85" s="47">
        <v>1.9000000000000128E-2</v>
      </c>
      <c r="DS85" s="47">
        <v>1.9000000000000128E-2</v>
      </c>
      <c r="DT85" s="47">
        <v>1.9000000000000128E-2</v>
      </c>
      <c r="DU85" s="47">
        <v>1.9000000000000128E-2</v>
      </c>
      <c r="DV85" s="47">
        <v>1.9000000000000128E-2</v>
      </c>
      <c r="DW85" s="47">
        <v>1.9000000000000128E-2</v>
      </c>
      <c r="DX85" s="47">
        <v>1.9000000000000128E-2</v>
      </c>
      <c r="DY85" s="47">
        <v>1.9000000000000128E-2</v>
      </c>
      <c r="DZ85" s="47">
        <v>1.9000000000000128E-2</v>
      </c>
      <c r="EA85" s="47">
        <v>1.9000000000000128E-2</v>
      </c>
      <c r="EB85" s="47">
        <v>1.9000000000000128E-2</v>
      </c>
    </row>
    <row r="86" spans="1:132">
      <c r="A86" s="54"/>
      <c r="B86" s="43"/>
      <c r="C86" s="43"/>
      <c r="D86" s="43"/>
      <c r="E86" s="43"/>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549"/>
      <c r="AS86" s="549"/>
      <c r="AT86" s="549"/>
      <c r="AU86" s="549"/>
      <c r="AV86" s="549"/>
      <c r="AW86" s="549"/>
      <c r="AX86" s="549"/>
      <c r="AY86" s="549"/>
      <c r="AZ86" s="549"/>
      <c r="BA86" s="549"/>
      <c r="BB86" s="549"/>
      <c r="BC86" s="549"/>
      <c r="BD86" s="549"/>
      <c r="BE86" s="549"/>
      <c r="BF86" s="549"/>
      <c r="BG86" s="549"/>
      <c r="BH86" s="549"/>
      <c r="BI86" s="549"/>
      <c r="BJ86" s="549"/>
      <c r="BK86" s="549"/>
      <c r="BL86" s="549"/>
      <c r="BM86" s="549"/>
      <c r="BN86" s="549"/>
      <c r="BO86" s="549"/>
      <c r="BP86" s="49"/>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78"/>
      <c r="CW86" s="78"/>
      <c r="CX86" s="43"/>
      <c r="CY86" s="43"/>
      <c r="CZ86" s="48"/>
      <c r="DA86" s="48"/>
      <c r="DB86" s="48"/>
      <c r="DC86" s="48"/>
      <c r="DD86" s="48"/>
      <c r="DE86" s="48"/>
      <c r="DF86" s="549"/>
      <c r="DG86" s="549"/>
      <c r="DH86" s="549"/>
      <c r="DI86" s="549"/>
      <c r="DJ86" s="549"/>
      <c r="DK86" s="549"/>
      <c r="DL86" s="49"/>
      <c r="DM86" s="47"/>
      <c r="DN86" s="47"/>
      <c r="DO86" s="47"/>
      <c r="DP86" s="47"/>
      <c r="DQ86" s="47"/>
      <c r="DR86" s="47"/>
      <c r="DS86" s="47"/>
      <c r="DT86" s="47"/>
      <c r="DU86" s="47"/>
      <c r="DV86" s="47"/>
      <c r="DW86" s="47"/>
      <c r="DX86" s="47"/>
      <c r="DY86" s="47"/>
      <c r="DZ86" s="47"/>
      <c r="EA86" s="47"/>
      <c r="EB86" s="47"/>
    </row>
    <row r="87" spans="1:132">
      <c r="A87" s="55" t="s">
        <v>470</v>
      </c>
      <c r="B87" s="43"/>
      <c r="C87" s="43"/>
      <c r="D87" s="43"/>
      <c r="E87" s="43"/>
      <c r="F87" s="43"/>
      <c r="G87" s="48"/>
      <c r="H87" s="48"/>
      <c r="I87" s="48"/>
      <c r="J87" s="48"/>
      <c r="K87" s="48"/>
      <c r="L87" s="48"/>
      <c r="M87" s="48"/>
      <c r="N87" s="48"/>
      <c r="O87" s="48"/>
      <c r="P87" s="48"/>
      <c r="Q87" s="48"/>
      <c r="R87" s="48"/>
      <c r="S87" s="48"/>
      <c r="T87" s="48"/>
      <c r="U87" s="48"/>
      <c r="V87" s="48"/>
      <c r="W87" s="48"/>
      <c r="X87" s="48"/>
      <c r="Y87" s="48"/>
      <c r="Z87" s="48">
        <v>3.0415506753273647E-2</v>
      </c>
      <c r="AA87" s="48">
        <v>1.0203050813213599E-2</v>
      </c>
      <c r="AB87" s="48">
        <v>-8.6921770406634957E-3</v>
      </c>
      <c r="AC87" s="48">
        <v>-8.0064051240992251E-3</v>
      </c>
      <c r="AD87" s="48">
        <v>-1.0806483890334229E-2</v>
      </c>
      <c r="AE87" s="48">
        <v>-8.799999999999919E-3</v>
      </c>
      <c r="AF87" s="48">
        <v>3.8298730094739053E-3</v>
      </c>
      <c r="AG87" s="48">
        <v>7.5665859564164606E-3</v>
      </c>
      <c r="AH87" s="48">
        <v>1.577989075460251E-2</v>
      </c>
      <c r="AI87" s="48">
        <v>1.7756255044390601E-2</v>
      </c>
      <c r="AJ87" s="48">
        <v>1.6465863453815288E-2</v>
      </c>
      <c r="AK87" s="48">
        <v>2.5833583658756432E-2</v>
      </c>
      <c r="AL87" s="48">
        <v>2.6190001991635015E-2</v>
      </c>
      <c r="AM87" s="48">
        <v>2.1312450436161923E-2</v>
      </c>
      <c r="AN87" s="48">
        <v>2.2125642038719917E-2</v>
      </c>
      <c r="AO87" s="48">
        <v>2.0204978038067312E-2</v>
      </c>
      <c r="AP87" s="48">
        <v>1.4167879670063055E-2</v>
      </c>
      <c r="AQ87" s="48">
        <v>2.4264777249344949E-2</v>
      </c>
      <c r="AR87" s="549">
        <v>2.522226517201398E-2</v>
      </c>
      <c r="AS87" s="549">
        <v>1.5212399540757815E-2</v>
      </c>
      <c r="AT87" s="549">
        <v>1.9041240072720234E-2</v>
      </c>
      <c r="AU87" s="549">
        <v>3.127072870273917E-3</v>
      </c>
      <c r="AV87" s="549">
        <v>3.0163069092279393E-3</v>
      </c>
      <c r="AW87" s="549">
        <v>8.9529733295636849E-3</v>
      </c>
      <c r="AX87" s="549">
        <v>-6.1502347417840331E-2</v>
      </c>
      <c r="AY87" s="549">
        <v>-4.8176837332325695E-2</v>
      </c>
      <c r="AZ87" s="549">
        <v>-4.642420825110416E-2</v>
      </c>
      <c r="BA87" s="549">
        <v>-3.5120493181393653E-2</v>
      </c>
      <c r="BB87" s="549">
        <v>5.7928964482240941E-2</v>
      </c>
      <c r="BC87" s="549">
        <v>0.10053592695514091</v>
      </c>
      <c r="BD87" s="549">
        <v>0.10357741204296844</v>
      </c>
      <c r="BE87" s="549">
        <v>7.8799612778315486E-2</v>
      </c>
      <c r="BF87" s="549">
        <v>4.4164932854170669E-2</v>
      </c>
      <c r="BG87" s="549">
        <v>-1.0370637568761887E-2</v>
      </c>
      <c r="BH87" s="549">
        <v>-2.232541525272369E-2</v>
      </c>
      <c r="BI87" s="549">
        <v>-1.7677674084709216E-2</v>
      </c>
      <c r="BJ87" s="549">
        <v>-1.1864867312743388E-2</v>
      </c>
      <c r="BK87" s="549">
        <v>-2.7337342810285215E-4</v>
      </c>
      <c r="BL87" s="549">
        <v>-1.3701132626964263E-3</v>
      </c>
      <c r="BM87" s="549">
        <v>8.4041289851100043E-3</v>
      </c>
      <c r="BN87" s="549">
        <v>1.2098991750687516E-2</v>
      </c>
      <c r="BO87" s="549">
        <v>-2.1875854525567062E-3</v>
      </c>
      <c r="BP87" s="49">
        <v>-9.9698161529315765E-3</v>
      </c>
      <c r="BQ87" s="47">
        <v>-1.2229368602228452E-2</v>
      </c>
      <c r="BR87" s="47">
        <v>-2.2716007912897518E-2</v>
      </c>
      <c r="BS87" s="47">
        <v>-4.3138427100086751E-3</v>
      </c>
      <c r="BT87" s="47">
        <v>1.0271236466641742E-2</v>
      </c>
      <c r="BU87" s="47">
        <v>8.6606863505362952E-3</v>
      </c>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78"/>
      <c r="CW87" s="78"/>
      <c r="CX87" s="43"/>
      <c r="CY87" s="43"/>
      <c r="CZ87" s="48" t="e">
        <v>#DIV/0!</v>
      </c>
      <c r="DA87" s="48" t="e">
        <v>#DIV/0!</v>
      </c>
      <c r="DB87" s="48" t="e">
        <v>#DIV/0!</v>
      </c>
      <c r="DC87" s="48">
        <v>-8.0064051240992251E-3</v>
      </c>
      <c r="DD87" s="48">
        <v>7.5665859564164606E-3</v>
      </c>
      <c r="DE87" s="48">
        <v>2.5833583658756432E-2</v>
      </c>
      <c r="DF87" s="549">
        <v>2.0204978038067312E-2</v>
      </c>
      <c r="DG87" s="549">
        <v>1.5212399540757815E-2</v>
      </c>
      <c r="DH87" s="549">
        <v>8.9529733295636849E-3</v>
      </c>
      <c r="DI87" s="549">
        <v>-3.5120493181393653E-2</v>
      </c>
      <c r="DJ87" s="549">
        <v>7.8799612778315486E-2</v>
      </c>
      <c r="DK87" s="549">
        <v>-1.7677674084709216E-2</v>
      </c>
      <c r="DL87" s="49">
        <v>8.4041289851100043E-3</v>
      </c>
      <c r="DM87" s="47">
        <v>-1.2229368602228452E-2</v>
      </c>
      <c r="DN87" s="47">
        <v>8.6606863505362952E-3</v>
      </c>
      <c r="DO87" s="47">
        <v>8.6606863505362952E-3</v>
      </c>
      <c r="DP87" s="47">
        <v>8.6606863505362952E-3</v>
      </c>
      <c r="DQ87" s="47">
        <v>8.6606863505362952E-3</v>
      </c>
      <c r="DR87" s="47">
        <v>8.6606863505362952E-3</v>
      </c>
      <c r="DS87" s="47">
        <v>8.6606863505362952E-3</v>
      </c>
      <c r="DT87" s="47">
        <v>8.6606863505362952E-3</v>
      </c>
      <c r="DU87" s="47">
        <v>8.6606863505362952E-3</v>
      </c>
      <c r="DV87" s="47">
        <v>8.6606863505362952E-3</v>
      </c>
      <c r="DW87" s="47">
        <v>8.6606863505362952E-3</v>
      </c>
      <c r="DX87" s="47">
        <v>8.6606863505362952E-3</v>
      </c>
      <c r="DY87" s="47">
        <v>8.6606863505362952E-3</v>
      </c>
      <c r="DZ87" s="47">
        <v>8.6606863505362952E-3</v>
      </c>
      <c r="EA87" s="47">
        <v>8.6606863505362952E-3</v>
      </c>
      <c r="EB87" s="47">
        <v>8.6606863505362952E-3</v>
      </c>
    </row>
    <row r="88" spans="1:132">
      <c r="A88" s="55" t="s">
        <v>471</v>
      </c>
      <c r="B88" s="43"/>
      <c r="C88" s="43"/>
      <c r="D88" s="43"/>
      <c r="E88" s="43"/>
      <c r="F88" s="43"/>
      <c r="G88" s="48">
        <v>5.5776892430277059E-3</v>
      </c>
      <c r="H88" s="48">
        <v>1.3837360874360716E-2</v>
      </c>
      <c r="I88" s="48">
        <v>2.1299999999999875E-2</v>
      </c>
      <c r="J88" s="48">
        <v>2.7158291208246643E-2</v>
      </c>
      <c r="K88" s="48">
        <v>6.2698098256735557E-2</v>
      </c>
      <c r="L88" s="48">
        <v>6.2209474829393763E-2</v>
      </c>
      <c r="M88" s="48">
        <v>5.0523842161950494E-2</v>
      </c>
      <c r="N88" s="48">
        <v>4.3713210460291529E-2</v>
      </c>
      <c r="O88" s="48">
        <v>6.058346537421766E-3</v>
      </c>
      <c r="P88" s="48">
        <v>7.8212290502792658E-3</v>
      </c>
      <c r="Q88" s="48">
        <v>7.8292478329760051E-3</v>
      </c>
      <c r="R88" s="48">
        <v>1.275887573964507E-2</v>
      </c>
      <c r="S88" s="48">
        <v>8.9864739670186822E-3</v>
      </c>
      <c r="T88" s="48">
        <v>7.575757575757569E-3</v>
      </c>
      <c r="U88" s="48">
        <v>7.8609081660965252E-3</v>
      </c>
      <c r="V88" s="48">
        <v>4.1080883695452375E-3</v>
      </c>
      <c r="W88" s="48">
        <v>1.1385547699935827E-2</v>
      </c>
      <c r="X88" s="48">
        <v>1.696313955620754E-2</v>
      </c>
      <c r="Y88" s="48">
        <v>4.7715177096714356E-3</v>
      </c>
      <c r="Z88" s="48">
        <v>-8.0916446949722554E-3</v>
      </c>
      <c r="AA88" s="48">
        <v>-8.261461643213952E-3</v>
      </c>
      <c r="AB88" s="48">
        <v>-2.2540798845911092E-2</v>
      </c>
      <c r="AC88" s="48">
        <v>1.0136986301369832E-2</v>
      </c>
      <c r="AD88" s="48">
        <v>1.1182401466544478E-2</v>
      </c>
      <c r="AE88" s="48">
        <v>9.1541559868180133E-3</v>
      </c>
      <c r="AF88" s="48">
        <v>1.0146665436767899E-2</v>
      </c>
      <c r="AG88" s="48">
        <v>-9.3119971069524077E-3</v>
      </c>
      <c r="AH88" s="48">
        <v>5.4387237128354915E-3</v>
      </c>
      <c r="AI88" s="48">
        <v>9.2525399129173014E-3</v>
      </c>
      <c r="AJ88" s="48">
        <v>1.5615012327641287E-2</v>
      </c>
      <c r="AK88" s="48">
        <v>2.0350428910385077E-2</v>
      </c>
      <c r="AL88" s="48">
        <v>9.1056617381897187E-3</v>
      </c>
      <c r="AM88" s="48">
        <v>8.9879561387740114E-3</v>
      </c>
      <c r="AN88" s="48">
        <v>1.384643049811185E-2</v>
      </c>
      <c r="AO88" s="48">
        <v>4.3824344870762033E-3</v>
      </c>
      <c r="AP88" s="48">
        <v>6.7899580094701317E-3</v>
      </c>
      <c r="AQ88" s="48">
        <v>5.25565651166926E-3</v>
      </c>
      <c r="AR88" s="549">
        <v>-6.8286626463285316E-3</v>
      </c>
      <c r="AS88" s="549">
        <v>-8.9047195013236546E-5</v>
      </c>
      <c r="AT88" s="549">
        <v>-5.3243411127872342E-3</v>
      </c>
      <c r="AU88" s="549">
        <v>-2.3039432875497923E-3</v>
      </c>
      <c r="AV88" s="549">
        <v>-3.8396285382622519E-3</v>
      </c>
      <c r="AW88" s="549">
        <v>-8.0149612610214138E-4</v>
      </c>
      <c r="AX88" s="549">
        <v>1.7753590864483915E-2</v>
      </c>
      <c r="AY88" s="549">
        <v>2.5934807709388163E-2</v>
      </c>
      <c r="AZ88" s="549">
        <v>4.9659376120473109E-2</v>
      </c>
      <c r="BA88" s="549">
        <v>6.114081996434928E-2</v>
      </c>
      <c r="BB88" s="549">
        <v>6.6795231416549861E-2</v>
      </c>
      <c r="BC88" s="549">
        <v>7.78287594147693E-2</v>
      </c>
      <c r="BD88" s="549">
        <v>7.5149444918872765E-2</v>
      </c>
      <c r="BE88" s="549">
        <v>7.3156391735259563E-2</v>
      </c>
      <c r="BF88" s="549">
        <v>6.0640920295809364E-2</v>
      </c>
      <c r="BG88" s="549">
        <v>3.7590361445783094E-2</v>
      </c>
      <c r="BH88" s="549">
        <v>2.9944400317712283E-2</v>
      </c>
      <c r="BI88" s="549">
        <v>1.2287704468967764E-2</v>
      </c>
      <c r="BJ88" s="549">
        <v>7.747133560582542E-3</v>
      </c>
      <c r="BK88" s="549">
        <v>1.4785570521752556E-2</v>
      </c>
      <c r="BL88" s="549">
        <v>5.7839130099484048E-3</v>
      </c>
      <c r="BM88" s="549">
        <v>2.8606772846759831E-3</v>
      </c>
      <c r="BN88" s="549">
        <v>1.3837638376381634E-3</v>
      </c>
      <c r="BO88" s="549">
        <v>-1.7545197955601832E-3</v>
      </c>
      <c r="BP88" s="49">
        <v>3.6037417573990815E-3</v>
      </c>
      <c r="BQ88" s="47">
        <v>9.0972168683984833E-3</v>
      </c>
      <c r="BR88" s="47">
        <v>1.5512373556652248E-2</v>
      </c>
      <c r="BS88" s="47">
        <v>2.0670057889952353E-2</v>
      </c>
      <c r="BT88" s="47">
        <v>2.3404354464276134E-2</v>
      </c>
      <c r="BU88" s="47">
        <v>2.940945380522364E-2</v>
      </c>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78"/>
      <c r="CW88" s="78"/>
      <c r="CX88" s="43"/>
      <c r="CY88" s="43"/>
      <c r="CZ88" s="48">
        <v>7.8292478329760051E-3</v>
      </c>
      <c r="DA88" s="48">
        <v>7.8609081660965252E-3</v>
      </c>
      <c r="DB88" s="48">
        <v>4.7715177096714356E-3</v>
      </c>
      <c r="DC88" s="48">
        <v>1.0136986301369832E-2</v>
      </c>
      <c r="DD88" s="48">
        <v>-9.3119971069524077E-3</v>
      </c>
      <c r="DE88" s="48">
        <v>2.0350428910385077E-2</v>
      </c>
      <c r="DF88" s="549">
        <v>4.3824344870762033E-3</v>
      </c>
      <c r="DG88" s="549">
        <v>-8.9047195013236546E-5</v>
      </c>
      <c r="DH88" s="549">
        <v>-8.0149612610214138E-4</v>
      </c>
      <c r="DI88" s="549">
        <v>6.114081996434928E-2</v>
      </c>
      <c r="DJ88" s="549">
        <v>7.3156391735259563E-2</v>
      </c>
      <c r="DK88" s="549">
        <v>1.2287704468967764E-2</v>
      </c>
      <c r="DL88" s="49">
        <v>2.8606772846759831E-3</v>
      </c>
      <c r="DM88" s="47">
        <v>9.0972168683984833E-3</v>
      </c>
      <c r="DN88" s="47">
        <v>2.940945380522364E-2</v>
      </c>
      <c r="DO88" s="47">
        <v>2.940945380522364E-2</v>
      </c>
      <c r="DP88" s="47">
        <v>2.940945380522364E-2</v>
      </c>
      <c r="DQ88" s="47">
        <v>2.940945380522364E-2</v>
      </c>
      <c r="DR88" s="47">
        <v>2.940945380522364E-2</v>
      </c>
      <c r="DS88" s="47">
        <v>2.940945380522364E-2</v>
      </c>
      <c r="DT88" s="47">
        <v>2.940945380522364E-2</v>
      </c>
      <c r="DU88" s="47">
        <v>2.940945380522364E-2</v>
      </c>
      <c r="DV88" s="47">
        <v>2.940945380522364E-2</v>
      </c>
      <c r="DW88" s="47">
        <v>2.940945380522364E-2</v>
      </c>
      <c r="DX88" s="47">
        <v>2.940945380522364E-2</v>
      </c>
      <c r="DY88" s="47">
        <v>2.940945380522364E-2</v>
      </c>
      <c r="DZ88" s="47">
        <v>2.940945380522364E-2</v>
      </c>
      <c r="EA88" s="47">
        <v>2.940945380522364E-2</v>
      </c>
      <c r="EB88" s="47">
        <v>2.940945380522364E-2</v>
      </c>
    </row>
    <row r="89" spans="1:132">
      <c r="A89" s="55" t="s">
        <v>472</v>
      </c>
      <c r="B89" s="43"/>
      <c r="C89" s="43"/>
      <c r="D89" s="43"/>
      <c r="E89" s="43"/>
      <c r="F89" s="43"/>
      <c r="G89" s="48">
        <v>-0.69317491019618682</v>
      </c>
      <c r="H89" s="48">
        <v>-0.69411314148156256</v>
      </c>
      <c r="I89" s="48">
        <v>-0.68926770445077834</v>
      </c>
      <c r="J89" s="48">
        <v>4.878048780487787E-2</v>
      </c>
      <c r="K89" s="48">
        <v>6.4301152737752165E-2</v>
      </c>
      <c r="L89" s="48">
        <v>7.2616705419424221E-2</v>
      </c>
      <c r="M89" s="48">
        <v>6.191568177809148E-2</v>
      </c>
      <c r="N89" s="48">
        <v>4.6683893195521131E-2</v>
      </c>
      <c r="O89" s="48">
        <v>3.4692841428329624E-2</v>
      </c>
      <c r="P89" s="48">
        <v>3.2683008170752093E-2</v>
      </c>
      <c r="Q89" s="48">
        <v>3.4551495016611256E-2</v>
      </c>
      <c r="R89" s="48">
        <v>4.3285055957867025E-2</v>
      </c>
      <c r="S89" s="48">
        <v>4.7922800130847154E-2</v>
      </c>
      <c r="T89" s="48">
        <v>4.2144356531568006E-2</v>
      </c>
      <c r="U89" s="48">
        <v>4.3834296724470256E-2</v>
      </c>
      <c r="V89" s="48">
        <v>3.2497239312194282E-2</v>
      </c>
      <c r="W89" s="48">
        <v>3.137193694396756E-2</v>
      </c>
      <c r="X89" s="48">
        <v>3.4552215680198062E-2</v>
      </c>
      <c r="Y89" s="48">
        <v>2.9533917858791003E-2</v>
      </c>
      <c r="Z89" s="48">
        <v>2.4293353705118426E-2</v>
      </c>
      <c r="AA89" s="48">
        <v>2.375907990314774E-2</v>
      </c>
      <c r="AB89" s="48">
        <v>1.8720982477160364E-2</v>
      </c>
      <c r="AC89" s="48">
        <v>3.0629015389212588E-2</v>
      </c>
      <c r="AD89" s="48">
        <v>4.266109785202854E-2</v>
      </c>
      <c r="AE89" s="48">
        <v>4.434589800443467E-2</v>
      </c>
      <c r="AF89" s="48">
        <v>4.5574830932078925E-2</v>
      </c>
      <c r="AG89" s="48">
        <v>4.2331110466802047E-2</v>
      </c>
      <c r="AH89" s="48">
        <v>3.991416309012874E-2</v>
      </c>
      <c r="AI89" s="48">
        <v>4.3595187544232195E-2</v>
      </c>
      <c r="AJ89" s="48">
        <v>4.3588301462317069E-2</v>
      </c>
      <c r="AK89" s="48">
        <v>5.674547983310152E-2</v>
      </c>
      <c r="AL89" s="48">
        <v>4.1408721970009665E-2</v>
      </c>
      <c r="AM89" s="48">
        <v>3.7976400379764019E-2</v>
      </c>
      <c r="AN89" s="48">
        <v>4.5540285637294398E-2</v>
      </c>
      <c r="AO89" s="48">
        <v>2.3163990523821898E-2</v>
      </c>
      <c r="AP89" s="48">
        <v>4.1743725231175643E-2</v>
      </c>
      <c r="AQ89" s="48">
        <v>4.7955050307069147E-2</v>
      </c>
      <c r="AR89" s="549">
        <v>1.804123711340222E-2</v>
      </c>
      <c r="AS89" s="549">
        <v>3.3959351685104222E-2</v>
      </c>
      <c r="AT89" s="549">
        <v>1.7626172964747555E-2</v>
      </c>
      <c r="AU89" s="549">
        <v>2.394014962593527E-2</v>
      </c>
      <c r="AV89" s="549">
        <v>4.9620253164557093E-2</v>
      </c>
      <c r="AW89" s="549">
        <v>4.8270714107987223E-2</v>
      </c>
      <c r="AX89" s="549">
        <v>5.8442367601245993E-2</v>
      </c>
      <c r="AY89" s="549">
        <v>3.9089137847053035E-2</v>
      </c>
      <c r="AZ89" s="549">
        <v>3.6782440906898195E-2</v>
      </c>
      <c r="BA89" s="549">
        <v>3.0738191312603691E-2</v>
      </c>
      <c r="BB89" s="549">
        <v>4.1676477513538979E-2</v>
      </c>
      <c r="BC89" s="549">
        <v>7.547169811320753E-2</v>
      </c>
      <c r="BD89" s="549">
        <v>9.026404559730139E-2</v>
      </c>
      <c r="BE89" s="549">
        <v>9.2343120322395E-2</v>
      </c>
      <c r="BF89" s="549">
        <v>8.7138336347197143E-2</v>
      </c>
      <c r="BG89" s="549">
        <v>4.936253677672453E-2</v>
      </c>
      <c r="BH89" s="549">
        <v>4.6943347914221611E-2</v>
      </c>
      <c r="BI89" s="549">
        <v>4.1741330241382935E-2</v>
      </c>
      <c r="BJ89" s="549">
        <v>3.2331843226946599E-2</v>
      </c>
      <c r="BK89" s="549">
        <v>3.613707165109048E-2</v>
      </c>
      <c r="BL89" s="549">
        <v>2.1094466523998934E-2</v>
      </c>
      <c r="BM89" s="549">
        <v>1.6998886977638517E-2</v>
      </c>
      <c r="BN89" s="549">
        <v>1.5709969788519684E-2</v>
      </c>
      <c r="BO89" s="549">
        <v>1.7839246341952331E-2</v>
      </c>
      <c r="BP89" s="49">
        <v>1.4670658682634619E-2</v>
      </c>
      <c r="BQ89" s="47">
        <v>1.6515769575166539E-2</v>
      </c>
      <c r="BR89" s="47">
        <v>2.1880382728999725E-2</v>
      </c>
      <c r="BS89" s="47">
        <v>2.9258865772634035E-2</v>
      </c>
      <c r="BT89" s="47">
        <v>4.0855672941138677E-2</v>
      </c>
      <c r="BU89" s="47">
        <v>4.5868082679456412E-2</v>
      </c>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78"/>
      <c r="CW89" s="78"/>
      <c r="CX89" s="43"/>
      <c r="CY89" s="43"/>
      <c r="CZ89" s="48">
        <v>3.4551495016611256E-2</v>
      </c>
      <c r="DA89" s="48">
        <v>4.3834296724470256E-2</v>
      </c>
      <c r="DB89" s="48">
        <v>2.9533917858791003E-2</v>
      </c>
      <c r="DC89" s="48">
        <v>3.0629015389212588E-2</v>
      </c>
      <c r="DD89" s="48">
        <v>4.2331110466802047E-2</v>
      </c>
      <c r="DE89" s="48">
        <v>5.674547983310152E-2</v>
      </c>
      <c r="DF89" s="549">
        <v>2.3163990523821898E-2</v>
      </c>
      <c r="DG89" s="549">
        <v>3.3959351685104222E-2</v>
      </c>
      <c r="DH89" s="549">
        <v>4.8270714107987223E-2</v>
      </c>
      <c r="DI89" s="549">
        <v>3.0738191312603691E-2</v>
      </c>
      <c r="DJ89" s="549">
        <v>9.2343120322395E-2</v>
      </c>
      <c r="DK89" s="549">
        <v>4.1741330241382935E-2</v>
      </c>
      <c r="DL89" s="49">
        <v>1.6998886977638517E-2</v>
      </c>
      <c r="DM89" s="47">
        <v>1.6515769575166539E-2</v>
      </c>
      <c r="DN89" s="47">
        <v>4.5868082679456412E-2</v>
      </c>
      <c r="DO89" s="47">
        <v>4.5868082679456412E-2</v>
      </c>
      <c r="DP89" s="47">
        <v>4.5868082679456412E-2</v>
      </c>
      <c r="DQ89" s="47">
        <v>4.5868082679456412E-2</v>
      </c>
      <c r="DR89" s="47">
        <v>4.5868082679456412E-2</v>
      </c>
      <c r="DS89" s="47">
        <v>4.5868082679456412E-2</v>
      </c>
      <c r="DT89" s="47">
        <v>4.5868082679456412E-2</v>
      </c>
      <c r="DU89" s="47">
        <v>4.5868082679456412E-2</v>
      </c>
      <c r="DV89" s="47">
        <v>4.5868082679456412E-2</v>
      </c>
      <c r="DW89" s="47">
        <v>4.5868082679456412E-2</v>
      </c>
      <c r="DX89" s="47">
        <v>4.5868082679456412E-2</v>
      </c>
      <c r="DY89" s="47">
        <v>4.5868082679456412E-2</v>
      </c>
      <c r="DZ89" s="47">
        <v>4.5868082679456412E-2</v>
      </c>
      <c r="EA89" s="47">
        <v>4.5868082679456412E-2</v>
      </c>
      <c r="EB89" s="47">
        <v>4.5868082679456412E-2</v>
      </c>
    </row>
    <row r="90" spans="1:132">
      <c r="A90" s="55" t="s">
        <v>473</v>
      </c>
      <c r="B90" s="43"/>
      <c r="C90" s="43"/>
      <c r="D90" s="43"/>
      <c r="E90" s="43"/>
      <c r="F90" s="43"/>
      <c r="G90" s="48">
        <v>4.2380952380952408E-2</v>
      </c>
      <c r="H90" s="48">
        <v>5.049551675318531E-2</v>
      </c>
      <c r="I90" s="48">
        <v>6.4849624060150379E-2</v>
      </c>
      <c r="J90" s="48">
        <v>6.6050808314087828E-2</v>
      </c>
      <c r="K90" s="48">
        <v>7.7204202832343638E-2</v>
      </c>
      <c r="L90" s="48">
        <v>6.8283917340521194E-2</v>
      </c>
      <c r="M90" s="48">
        <v>5.604589585172115E-2</v>
      </c>
      <c r="N90" s="48">
        <v>5.6759098786828499E-2</v>
      </c>
      <c r="O90" s="48">
        <v>4.7073791348600569E-2</v>
      </c>
      <c r="P90" s="48">
        <v>5.2985702270815782E-2</v>
      </c>
      <c r="Q90" s="48">
        <v>5.3907229419139169E-2</v>
      </c>
      <c r="R90" s="48">
        <v>5.5760557605575967E-2</v>
      </c>
      <c r="S90" s="48">
        <v>5.265289590927491E-2</v>
      </c>
      <c r="T90" s="48">
        <v>4.9520766773162972E-2</v>
      </c>
      <c r="U90" s="48">
        <v>4.9167327517843029E-2</v>
      </c>
      <c r="V90" s="48">
        <v>5.7864077669902869E-2</v>
      </c>
      <c r="W90" s="48">
        <v>6.2331666025394528E-2</v>
      </c>
      <c r="X90" s="48">
        <v>6.126331811263297E-2</v>
      </c>
      <c r="Y90" s="48">
        <v>5.8201058201058142E-2</v>
      </c>
      <c r="Z90" s="48">
        <v>3.7444933920705026E-2</v>
      </c>
      <c r="AA90" s="48">
        <v>3.621876131836288E-2</v>
      </c>
      <c r="AB90" s="48">
        <v>2.7608461814270457E-2</v>
      </c>
      <c r="AC90" s="48">
        <v>2.3571428571428577E-2</v>
      </c>
      <c r="AD90" s="48">
        <v>2.4769992922859085E-2</v>
      </c>
      <c r="AE90" s="48">
        <v>2.446696959105199E-2</v>
      </c>
      <c r="AF90" s="48">
        <v>2.8960223307745725E-2</v>
      </c>
      <c r="AG90" s="48">
        <v>3.3147243545010419E-2</v>
      </c>
      <c r="AH90" s="48">
        <v>3.9364640883977842E-2</v>
      </c>
      <c r="AI90" s="48">
        <v>3.6506311838962802E-2</v>
      </c>
      <c r="AJ90" s="48">
        <v>3.6622583926754881E-2</v>
      </c>
      <c r="AK90" s="48">
        <v>4.7281323877068626E-2</v>
      </c>
      <c r="AL90" s="48">
        <v>4.3521594684385434E-2</v>
      </c>
      <c r="AM90" s="48">
        <v>4.1474654377880116E-2</v>
      </c>
      <c r="AN90" s="48">
        <v>4.383382401046787E-2</v>
      </c>
      <c r="AO90" s="48">
        <v>4.2244437278297298E-2</v>
      </c>
      <c r="AP90" s="48">
        <v>4.1388092964024237E-2</v>
      </c>
      <c r="AQ90" s="48">
        <v>4.8040455120101244E-2</v>
      </c>
      <c r="AR90" s="549">
        <v>4.4186775305546711E-2</v>
      </c>
      <c r="AS90" s="549">
        <v>4.0841584158415767E-2</v>
      </c>
      <c r="AT90" s="549">
        <v>3.8826047080403603E-2</v>
      </c>
      <c r="AU90" s="549">
        <v>2.6537997587454676E-2</v>
      </c>
      <c r="AV90" s="549">
        <v>3.3913565426170411E-2</v>
      </c>
      <c r="AW90" s="549">
        <v>4.0130796670630131E-2</v>
      </c>
      <c r="AX90" s="549">
        <v>3.943496174220118E-2</v>
      </c>
      <c r="AY90" s="549">
        <v>4.6709753231492401E-2</v>
      </c>
      <c r="AZ90" s="549">
        <v>4.615384615384599E-2</v>
      </c>
      <c r="BA90" s="549">
        <v>5.3158045155758948E-2</v>
      </c>
      <c r="BB90" s="549">
        <v>6.9648924122310385E-2</v>
      </c>
      <c r="BC90" s="549">
        <v>0.10216110019646352</v>
      </c>
      <c r="BD90" s="549">
        <v>0.10044395116537186</v>
      </c>
      <c r="BE90" s="549">
        <v>9.7964721845319014E-2</v>
      </c>
      <c r="BF90" s="549">
        <v>9.05240868184225E-2</v>
      </c>
      <c r="BG90" s="549">
        <v>5.6022408963585457E-2</v>
      </c>
      <c r="BH90" s="549">
        <v>6.1270801815431097E-2</v>
      </c>
      <c r="BI90" s="549">
        <v>5.1903114186851118E-2</v>
      </c>
      <c r="BJ90" s="549">
        <v>4.7572815533980739E-2</v>
      </c>
      <c r="BK90" s="549">
        <v>4.8709910778876209E-2</v>
      </c>
      <c r="BL90" s="549">
        <v>4.490377761938702E-2</v>
      </c>
      <c r="BM90" s="549">
        <v>3.8768796992481258E-2</v>
      </c>
      <c r="BN90" s="549">
        <v>4.494902687673763E-2</v>
      </c>
      <c r="BO90" s="549">
        <v>4.6677397102782292E-2</v>
      </c>
      <c r="BP90" s="49">
        <v>4.5475216007275998E-2</v>
      </c>
      <c r="BQ90" s="47">
        <v>4.9762497172585407E-2</v>
      </c>
      <c r="BR90" s="47">
        <v>4.4927456783831143E-2</v>
      </c>
      <c r="BS90" s="47">
        <v>4.8575323293758244E-2</v>
      </c>
      <c r="BT90" s="47">
        <v>5.0479864493203408E-2</v>
      </c>
      <c r="BU90" s="47">
        <v>5.6299328520314829E-2</v>
      </c>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78"/>
      <c r="CW90" s="78"/>
      <c r="CX90" s="43"/>
      <c r="CY90" s="43"/>
      <c r="CZ90" s="48">
        <v>5.3907229419139169E-2</v>
      </c>
      <c r="DA90" s="48">
        <v>4.9167327517843029E-2</v>
      </c>
      <c r="DB90" s="48">
        <v>5.8201058201058142E-2</v>
      </c>
      <c r="DC90" s="48">
        <v>2.3571428571428577E-2</v>
      </c>
      <c r="DD90" s="48">
        <v>3.3147243545010419E-2</v>
      </c>
      <c r="DE90" s="48">
        <v>4.7281323877068626E-2</v>
      </c>
      <c r="DF90" s="549">
        <v>4.2244437278297298E-2</v>
      </c>
      <c r="DG90" s="549">
        <v>4.0841584158415767E-2</v>
      </c>
      <c r="DH90" s="549">
        <v>4.0130796670630131E-2</v>
      </c>
      <c r="DI90" s="549">
        <v>5.3158045155758948E-2</v>
      </c>
      <c r="DJ90" s="549">
        <v>9.7964721845319014E-2</v>
      </c>
      <c r="DK90" s="549">
        <v>5.1903114186851118E-2</v>
      </c>
      <c r="DL90" s="49">
        <v>3.8768796992481258E-2</v>
      </c>
      <c r="DM90" s="47">
        <v>4.9762497172585407E-2</v>
      </c>
      <c r="DN90" s="47">
        <v>5.6299328520314829E-2</v>
      </c>
      <c r="DO90" s="47">
        <v>5.6299328520314829E-2</v>
      </c>
      <c r="DP90" s="47">
        <v>5.6299328520314829E-2</v>
      </c>
      <c r="DQ90" s="47">
        <v>5.6299328520314829E-2</v>
      </c>
      <c r="DR90" s="47">
        <v>5.6299328520314829E-2</v>
      </c>
      <c r="DS90" s="47">
        <v>5.6299328520314829E-2</v>
      </c>
      <c r="DT90" s="47">
        <v>5.6299328520314829E-2</v>
      </c>
      <c r="DU90" s="47">
        <v>5.6299328520314829E-2</v>
      </c>
      <c r="DV90" s="47">
        <v>5.6299328520314829E-2</v>
      </c>
      <c r="DW90" s="47">
        <v>5.6299328520314829E-2</v>
      </c>
      <c r="DX90" s="47">
        <v>5.6299328520314829E-2</v>
      </c>
      <c r="DY90" s="47">
        <v>5.6299328520314829E-2</v>
      </c>
      <c r="DZ90" s="47">
        <v>5.6299328520314829E-2</v>
      </c>
      <c r="EA90" s="47">
        <v>5.6299328520314829E-2</v>
      </c>
      <c r="EB90" s="47">
        <v>5.6299328520314829E-2</v>
      </c>
    </row>
    <row r="91" spans="1:132">
      <c r="A91" s="55" t="s">
        <v>474</v>
      </c>
      <c r="B91" s="43"/>
      <c r="C91" s="43"/>
      <c r="D91" s="43"/>
      <c r="E91" s="43"/>
      <c r="F91" s="43"/>
      <c r="G91" s="48">
        <v>-7.1369523284651515E-2</v>
      </c>
      <c r="H91" s="48">
        <v>-5.1461545738340719E-2</v>
      </c>
      <c r="I91" s="48">
        <v>-4.2865531415149816E-2</v>
      </c>
      <c r="J91" s="48">
        <v>-4.5621342854309188E-2</v>
      </c>
      <c r="K91" s="48">
        <v>-6.7260138476755715E-2</v>
      </c>
      <c r="L91" s="48">
        <v>-4.9865363518500017E-2</v>
      </c>
      <c r="M91" s="48">
        <v>-5.1124744376274123E-4</v>
      </c>
      <c r="N91" s="48">
        <v>1.1742699781772892E-2</v>
      </c>
      <c r="O91" s="48">
        <v>4.1781548250265033E-2</v>
      </c>
      <c r="P91" s="48">
        <v>2.1832686050173189E-2</v>
      </c>
      <c r="Q91" s="48">
        <v>-1.0025575447570323E-2</v>
      </c>
      <c r="R91" s="48">
        <v>-6.1626951520132867E-4</v>
      </c>
      <c r="S91" s="48">
        <v>-6.6164495114006128E-3</v>
      </c>
      <c r="T91" s="48">
        <v>2.5680534155110291E-3</v>
      </c>
      <c r="U91" s="48">
        <v>-2.8934587165444503E-3</v>
      </c>
      <c r="V91" s="48">
        <v>-6.8859198355601947E-3</v>
      </c>
      <c r="W91" s="48">
        <v>-1.5575366328517415E-2</v>
      </c>
      <c r="X91" s="48">
        <v>-2.8688524590163578E-3</v>
      </c>
      <c r="Y91" s="48">
        <v>2.974401492382639E-2</v>
      </c>
      <c r="Z91" s="48">
        <v>5.2882127703611781E-2</v>
      </c>
      <c r="AA91" s="48">
        <v>5.5896741958988194E-2</v>
      </c>
      <c r="AB91" s="48">
        <v>5.1582408549116332E-2</v>
      </c>
      <c r="AC91" s="48">
        <v>3.4621578099838901E-2</v>
      </c>
      <c r="AD91" s="48">
        <v>1.9952820916060654E-2</v>
      </c>
      <c r="AE91" s="48">
        <v>5.6190851735016256E-3</v>
      </c>
      <c r="AF91" s="48">
        <v>-8.3056478405316714E-3</v>
      </c>
      <c r="AG91" s="48">
        <v>-1.0019455252918252E-2</v>
      </c>
      <c r="AH91" s="48">
        <v>-2.2260769008383918E-2</v>
      </c>
      <c r="AI91" s="48">
        <v>-3.0291147926673867E-2</v>
      </c>
      <c r="AJ91" s="48">
        <v>-4.7787959404867464E-2</v>
      </c>
      <c r="AK91" s="48">
        <v>-4.5789525400412701E-2</v>
      </c>
      <c r="AL91" s="48">
        <v>-6.3374728957224402E-2</v>
      </c>
      <c r="AM91" s="48">
        <v>-3.4371209057824537E-2</v>
      </c>
      <c r="AN91" s="48">
        <v>-4.4495033112583737E-3</v>
      </c>
      <c r="AO91" s="48">
        <v>-1.2357120790855713E-3</v>
      </c>
      <c r="AP91" s="48">
        <v>3.9987372408711863E-3</v>
      </c>
      <c r="AQ91" s="48">
        <v>8.4798994974875086E-3</v>
      </c>
      <c r="AR91" s="549">
        <v>3.0142396840246999E-3</v>
      </c>
      <c r="AS91" s="549">
        <v>-1.206309928858651E-2</v>
      </c>
      <c r="AT91" s="549">
        <v>2.3058379624776304E-3</v>
      </c>
      <c r="AU91" s="549">
        <v>2.0450534620575E-2</v>
      </c>
      <c r="AV91" s="549">
        <v>-4.8704663212435495E-3</v>
      </c>
      <c r="AW91" s="549">
        <v>-1.9933208098518063E-2</v>
      </c>
      <c r="AX91" s="549">
        <v>-2.5201296664226658E-2</v>
      </c>
      <c r="AY91" s="549">
        <v>-6.2868769074262421E-2</v>
      </c>
      <c r="AZ91" s="549">
        <v>-3.4051858794126755E-2</v>
      </c>
      <c r="BA91" s="549">
        <v>1.0648493238207823E-3</v>
      </c>
      <c r="BB91" s="549">
        <v>1.3945505256382829E-2</v>
      </c>
      <c r="BC91" s="549">
        <v>3.8645245332175504E-2</v>
      </c>
      <c r="BD91" s="549">
        <v>6.2419146183699814E-2</v>
      </c>
      <c r="BE91" s="549">
        <v>6.2121050952026247E-2</v>
      </c>
      <c r="BF91" s="549">
        <v>3.7663986457892484E-2</v>
      </c>
      <c r="BG91" s="549">
        <v>2.895066889632103E-2</v>
      </c>
      <c r="BH91" s="549">
        <v>3.6529680365295913E-3</v>
      </c>
      <c r="BI91" s="549">
        <v>-3.8057085628442344E-3</v>
      </c>
      <c r="BJ91" s="549">
        <v>1.4172104404567731E-2</v>
      </c>
      <c r="BK91" s="549">
        <v>2.5799898425596712E-2</v>
      </c>
      <c r="BL91" s="549">
        <v>2.5275502982509357E-2</v>
      </c>
      <c r="BM91" s="549">
        <v>2.5334271639690265E-2</v>
      </c>
      <c r="BN91" s="549">
        <v>3.3980094500854374E-2</v>
      </c>
      <c r="BO91" s="549">
        <v>-4.1588276066937269E-3</v>
      </c>
      <c r="BP91" s="49">
        <v>-1.6073365545804075E-2</v>
      </c>
      <c r="BQ91" s="47">
        <v>-2.1668791057946835E-2</v>
      </c>
      <c r="BR91" s="47">
        <v>-2.0147788040836168E-2</v>
      </c>
      <c r="BS91" s="47">
        <v>1.2086884756885796E-2</v>
      </c>
      <c r="BT91" s="47">
        <v>3.0301000000000133E-2</v>
      </c>
      <c r="BU91" s="47">
        <v>4.0604010000000024E-2</v>
      </c>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78"/>
      <c r="CW91" s="78"/>
      <c r="CX91" s="43"/>
      <c r="CY91" s="43"/>
      <c r="CZ91" s="48">
        <v>-1.0025575447570323E-2</v>
      </c>
      <c r="DA91" s="48">
        <v>-2.8934587165444503E-3</v>
      </c>
      <c r="DB91" s="48">
        <v>2.974401492382639E-2</v>
      </c>
      <c r="DC91" s="48">
        <v>3.4621578099838901E-2</v>
      </c>
      <c r="DD91" s="48">
        <v>-1.0019455252918252E-2</v>
      </c>
      <c r="DE91" s="48">
        <v>-4.5789525400412701E-2</v>
      </c>
      <c r="DF91" s="549">
        <v>-1.2357120790855713E-3</v>
      </c>
      <c r="DG91" s="549">
        <v>-1.206309928858651E-2</v>
      </c>
      <c r="DH91" s="549">
        <v>-1.9933208098518063E-2</v>
      </c>
      <c r="DI91" s="549">
        <v>1.0648493238207823E-3</v>
      </c>
      <c r="DJ91" s="549">
        <v>6.2121050952026247E-2</v>
      </c>
      <c r="DK91" s="549">
        <v>-3.8057085628442344E-3</v>
      </c>
      <c r="DL91" s="49">
        <v>2.5334271639690265E-2</v>
      </c>
      <c r="DM91" s="47">
        <v>-2.1668791057946835E-2</v>
      </c>
      <c r="DN91" s="47">
        <v>4.0604010000000024E-2</v>
      </c>
      <c r="DO91" s="47">
        <v>4.0604010000000024E-2</v>
      </c>
      <c r="DP91" s="47">
        <v>4.0604010000000024E-2</v>
      </c>
      <c r="DQ91" s="47">
        <v>4.0604010000000024E-2</v>
      </c>
      <c r="DR91" s="47">
        <v>4.0604010000000024E-2</v>
      </c>
      <c r="DS91" s="47">
        <v>4.0604010000000024E-2</v>
      </c>
      <c r="DT91" s="47">
        <v>4.0604010000000024E-2</v>
      </c>
      <c r="DU91" s="47">
        <v>4.0604010000000024E-2</v>
      </c>
      <c r="DV91" s="47">
        <v>4.0604010000000024E-2</v>
      </c>
      <c r="DW91" s="47">
        <v>4.0604010000000024E-2</v>
      </c>
      <c r="DX91" s="47">
        <v>4.0604010000000024E-2</v>
      </c>
      <c r="DY91" s="47">
        <v>4.0604010000000024E-2</v>
      </c>
      <c r="DZ91" s="47">
        <v>4.0604010000000024E-2</v>
      </c>
      <c r="EA91" s="47">
        <v>4.0604010000000024E-2</v>
      </c>
      <c r="EB91" s="47">
        <v>4.0604010000000024E-2</v>
      </c>
    </row>
    <row r="92" spans="1:132">
      <c r="A92" s="43" t="s">
        <v>475</v>
      </c>
      <c r="B92" s="43"/>
      <c r="C92" s="43"/>
      <c r="D92" s="43"/>
      <c r="E92" s="43"/>
      <c r="F92" s="43"/>
      <c r="G92" s="48">
        <v>1.2857198817944004E-2</v>
      </c>
      <c r="H92" s="48">
        <v>2.4264619416399347E-2</v>
      </c>
      <c r="I92" s="48">
        <v>2.4479441222983622E-2</v>
      </c>
      <c r="J92" s="48">
        <v>2.7608612416494038E-2</v>
      </c>
      <c r="K92" s="48">
        <v>3.2436317809128923E-2</v>
      </c>
      <c r="L92" s="48">
        <v>3.1522976346286757E-2</v>
      </c>
      <c r="M92" s="48">
        <v>3.907986511648498E-2</v>
      </c>
      <c r="N92" s="48">
        <v>4.4269093059403408E-2</v>
      </c>
      <c r="O92" s="48">
        <v>3.3690454219027277E-2</v>
      </c>
      <c r="P92" s="48">
        <v>2.6273935625314326E-2</v>
      </c>
      <c r="Q92" s="48">
        <v>2.4523157096316917E-2</v>
      </c>
      <c r="R92" s="48">
        <v>1.4905356511258239E-2</v>
      </c>
      <c r="S92" s="48">
        <v>9.9574143868306209E-3</v>
      </c>
      <c r="T92" s="48">
        <v>2.2131773423545997E-2</v>
      </c>
      <c r="U92" s="48">
        <v>2.0525157886671863E-2</v>
      </c>
      <c r="V92" s="48">
        <v>3.2252295427335653E-2</v>
      </c>
      <c r="W92" s="48">
        <v>5.1238651763667153E-2</v>
      </c>
      <c r="X92" s="48">
        <v>4.6641054989751574E-2</v>
      </c>
      <c r="Y92" s="48">
        <v>5.6523589462863955E-2</v>
      </c>
      <c r="Z92" s="48">
        <v>4.3030088147695267E-2</v>
      </c>
      <c r="AA92" s="48">
        <v>3.9933631956229565E-2</v>
      </c>
      <c r="AB92" s="48">
        <v>4.8778096012830119E-2</v>
      </c>
      <c r="AC92" s="48">
        <v>4.0686479528649455E-2</v>
      </c>
      <c r="AD92" s="48">
        <v>4.8299582744109282E-2</v>
      </c>
      <c r="AE92" s="48">
        <v>4.2793568096014312E-2</v>
      </c>
      <c r="AF92" s="48">
        <v>3.4616081105019125E-2</v>
      </c>
      <c r="AG92" s="48">
        <v>2.8049766885987815E-2</v>
      </c>
      <c r="AH92" s="48">
        <v>2.5565191451279556E-2</v>
      </c>
      <c r="AI92" s="48">
        <v>2.353056782052243E-2</v>
      </c>
      <c r="AJ92" s="48">
        <v>1.6491955934000213E-2</v>
      </c>
      <c r="AK92" s="48">
        <v>1.7085180723531712E-2</v>
      </c>
      <c r="AL92" s="48">
        <v>1.8697156309662288E-2</v>
      </c>
      <c r="AM92" s="48">
        <v>1.8514094645845969E-2</v>
      </c>
      <c r="AN92" s="48">
        <v>2.6284485116174983E-2</v>
      </c>
      <c r="AO92" s="48">
        <v>2.864564480967724E-2</v>
      </c>
      <c r="AP92" s="48">
        <v>2.2207603472258031E-2</v>
      </c>
      <c r="AQ92" s="48">
        <v>2.7413980824610107E-2</v>
      </c>
      <c r="AR92" s="549">
        <v>2.5261126311114435E-2</v>
      </c>
      <c r="AS92" s="549">
        <v>2.6995417145672107E-2</v>
      </c>
      <c r="AT92" s="549">
        <v>3.7426865792925756E-2</v>
      </c>
      <c r="AU92" s="549">
        <v>2.8423878179283379E-2</v>
      </c>
      <c r="AV92" s="549">
        <v>2.3506401226730977E-2</v>
      </c>
      <c r="AW92" s="549">
        <v>2.6859470560516963E-2</v>
      </c>
      <c r="AX92" s="549">
        <v>2.7880448123714485E-2</v>
      </c>
      <c r="AY92" s="549">
        <v>3.5314858090312429E-2</v>
      </c>
      <c r="AZ92" s="549">
        <v>4.8088589009626315E-2</v>
      </c>
      <c r="BA92" s="549">
        <v>6.6095224925207141E-2</v>
      </c>
      <c r="BB92" s="549">
        <v>7.9366839747342821E-2</v>
      </c>
      <c r="BC92" s="549">
        <v>0.11366608290925928</v>
      </c>
      <c r="BD92" s="549">
        <v>0.13858710192675794</v>
      </c>
      <c r="BE92" s="549">
        <v>0.13291412486036602</v>
      </c>
      <c r="BF92" s="549">
        <v>0.12127368668553129</v>
      </c>
      <c r="BG92" s="549">
        <v>9.075060983478922E-2</v>
      </c>
      <c r="BH92" s="549">
        <v>5.6608295291379562E-2</v>
      </c>
      <c r="BI92" s="549">
        <v>4.7802140526980397E-2</v>
      </c>
      <c r="BJ92" s="549">
        <v>4.2670963258963468E-2</v>
      </c>
      <c r="BK92" s="549">
        <v>4.1075127710346493E-2</v>
      </c>
      <c r="BL92" s="549">
        <v>4.7320632098377891E-2</v>
      </c>
      <c r="BM92" s="549">
        <v>4.4233713225780624E-2</v>
      </c>
      <c r="BN92" s="549">
        <v>4.8541901658295084E-2</v>
      </c>
      <c r="BO92" s="549">
        <v>4.5119139696570665E-2</v>
      </c>
      <c r="BP92" s="49">
        <v>4.1551372947068455E-2</v>
      </c>
      <c r="BQ92" s="47">
        <v>3.4132820917158524E-2</v>
      </c>
      <c r="BR92" s="47">
        <v>2.8829237199490487E-2</v>
      </c>
      <c r="BS92" s="47">
        <v>2.5866637928055214E-2</v>
      </c>
      <c r="BT92" s="47">
        <v>2.7328767411590738E-2</v>
      </c>
      <c r="BU92" s="47">
        <v>2.7653569104117537E-2</v>
      </c>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78"/>
      <c r="CW92" s="78"/>
      <c r="CX92" s="43"/>
      <c r="CY92" s="43"/>
      <c r="CZ92" s="48">
        <v>2.4523157096316917E-2</v>
      </c>
      <c r="DA92" s="48">
        <v>2.0525157886671863E-2</v>
      </c>
      <c r="DB92" s="48">
        <v>5.6523589462863955E-2</v>
      </c>
      <c r="DC92" s="48">
        <v>4.0686479528649455E-2</v>
      </c>
      <c r="DD92" s="48">
        <v>2.8049766885987815E-2</v>
      </c>
      <c r="DE92" s="48">
        <v>1.7085180723531712E-2</v>
      </c>
      <c r="DF92" s="549">
        <v>2.864564480967724E-2</v>
      </c>
      <c r="DG92" s="549">
        <v>2.6995417145672107E-2</v>
      </c>
      <c r="DH92" s="549">
        <v>2.6859470560516963E-2</v>
      </c>
      <c r="DI92" s="549">
        <v>6.6095224925207141E-2</v>
      </c>
      <c r="DJ92" s="549">
        <v>0.13291412486036602</v>
      </c>
      <c r="DK92" s="549">
        <v>4.7802140526980397E-2</v>
      </c>
      <c r="DL92" s="49">
        <v>4.4233713225780624E-2</v>
      </c>
      <c r="DM92" s="47">
        <v>3.4132820917158524E-2</v>
      </c>
      <c r="DN92" s="47">
        <v>2.7653569104117537E-2</v>
      </c>
      <c r="DO92" s="47">
        <v>2.9999999999999805E-2</v>
      </c>
      <c r="DP92" s="47">
        <v>3.0000000000000027E-2</v>
      </c>
      <c r="DQ92" s="47">
        <v>3.0000000000000027E-2</v>
      </c>
      <c r="DR92" s="47">
        <v>3.0000000000000027E-2</v>
      </c>
      <c r="DS92" s="47">
        <v>3.0000000000000027E-2</v>
      </c>
      <c r="DT92" s="47">
        <v>3.0000000000000027E-2</v>
      </c>
      <c r="DU92" s="47">
        <v>3.0000000000000027E-2</v>
      </c>
      <c r="DV92" s="47">
        <v>3.0000000000000027E-2</v>
      </c>
      <c r="DW92" s="47">
        <v>3.0000000000000027E-2</v>
      </c>
      <c r="DX92" s="47">
        <v>3.0000000000000027E-2</v>
      </c>
      <c r="DY92" s="47">
        <v>3.0000000000000027E-2</v>
      </c>
      <c r="DZ92" s="47">
        <v>3.0000000000000027E-2</v>
      </c>
      <c r="EA92" s="47">
        <v>3.0000000000000027E-2</v>
      </c>
      <c r="EB92" s="47">
        <v>3.0000000000000027E-2</v>
      </c>
    </row>
    <row r="93" spans="1:132">
      <c r="A93" s="43"/>
      <c r="B93" s="43"/>
      <c r="C93" s="43"/>
      <c r="D93" s="43"/>
      <c r="E93" s="43"/>
      <c r="F93" s="43"/>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549"/>
      <c r="AS93" s="549"/>
      <c r="AT93" s="549"/>
      <c r="AU93" s="549"/>
      <c r="AV93" s="549"/>
      <c r="AW93" s="549"/>
      <c r="AX93" s="549"/>
      <c r="AY93" s="549"/>
      <c r="AZ93" s="549"/>
      <c r="BA93" s="549"/>
      <c r="BB93" s="549"/>
      <c r="BC93" s="549"/>
      <c r="BD93" s="549"/>
      <c r="BE93" s="549"/>
      <c r="BF93" s="549"/>
      <c r="BG93" s="549"/>
      <c r="BH93" s="549"/>
      <c r="BI93" s="549"/>
      <c r="BJ93" s="549"/>
      <c r="BK93" s="549"/>
      <c r="BL93" s="549"/>
      <c r="BM93" s="549"/>
      <c r="BN93" s="549"/>
      <c r="BO93" s="549"/>
      <c r="BP93" s="49"/>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78"/>
      <c r="CW93" s="78"/>
      <c r="CX93" s="43"/>
      <c r="CY93" s="43"/>
      <c r="CZ93" s="48"/>
      <c r="DA93" s="48"/>
      <c r="DB93" s="48"/>
      <c r="DC93" s="48"/>
      <c r="DD93" s="48"/>
      <c r="DE93" s="48"/>
      <c r="DF93" s="549"/>
      <c r="DG93" s="549"/>
      <c r="DH93" s="549"/>
      <c r="DI93" s="549"/>
      <c r="DJ93" s="549"/>
      <c r="DK93" s="549"/>
      <c r="DL93" s="49"/>
      <c r="DM93" s="47"/>
      <c r="DN93" s="47"/>
      <c r="DO93" s="47"/>
      <c r="DP93" s="47"/>
      <c r="DQ93" s="47"/>
      <c r="DR93" s="47"/>
      <c r="DS93" s="47"/>
      <c r="DT93" s="47"/>
      <c r="DU93" s="47"/>
      <c r="DV93" s="47"/>
      <c r="DW93" s="47"/>
      <c r="DX93" s="47"/>
      <c r="DY93" s="47"/>
      <c r="DZ93" s="47"/>
      <c r="EA93" s="47"/>
      <c r="EB93" s="47"/>
    </row>
    <row r="94" spans="1:13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79"/>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43"/>
      <c r="CY94" s="43"/>
      <c r="CZ94" s="43"/>
      <c r="DA94" s="43"/>
      <c r="DB94" s="43"/>
      <c r="DC94" s="43"/>
      <c r="DD94" s="43"/>
      <c r="DE94" s="43"/>
      <c r="DF94" s="43"/>
      <c r="DG94" s="43"/>
      <c r="DH94" s="43"/>
      <c r="DI94" s="43"/>
      <c r="DJ94" s="43"/>
      <c r="DK94" s="43"/>
      <c r="DL94" s="79"/>
      <c r="DM94" s="78"/>
      <c r="DN94" s="78"/>
      <c r="DO94" s="78"/>
      <c r="DP94" s="78"/>
      <c r="DQ94" s="78"/>
      <c r="DR94" s="78"/>
      <c r="DS94" s="78"/>
      <c r="DT94" s="78"/>
      <c r="DU94" s="78"/>
      <c r="DV94" s="78"/>
      <c r="DW94" s="78"/>
      <c r="DX94" s="78"/>
      <c r="DY94" s="78"/>
      <c r="DZ94" s="78"/>
      <c r="EA94" s="78"/>
      <c r="EB94" s="78"/>
    </row>
    <row r="95" spans="1:13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79"/>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43"/>
      <c r="CY95" s="43"/>
      <c r="CZ95" s="43"/>
      <c r="DA95" s="43"/>
      <c r="DB95" s="43"/>
      <c r="DC95" s="43"/>
      <c r="DD95" s="43"/>
      <c r="DE95" s="43"/>
      <c r="DF95" s="43"/>
      <c r="DG95" s="43"/>
      <c r="DH95" s="43"/>
      <c r="DI95" s="43"/>
      <c r="DJ95" s="43"/>
      <c r="DK95" s="43"/>
      <c r="DL95" s="79"/>
      <c r="DM95" s="78"/>
      <c r="DN95" s="78"/>
      <c r="DO95" s="78"/>
      <c r="DP95" s="78"/>
      <c r="DQ95" s="78"/>
      <c r="DR95" s="78"/>
      <c r="DS95" s="78"/>
      <c r="DT95" s="78"/>
      <c r="DU95" s="78"/>
      <c r="DV95" s="78"/>
      <c r="DW95" s="78"/>
      <c r="DX95" s="78"/>
      <c r="DY95" s="78"/>
      <c r="DZ95" s="78"/>
      <c r="EA95" s="78"/>
      <c r="EB95" s="78"/>
    </row>
    <row r="96" spans="1:13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79"/>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43"/>
      <c r="CY96" s="43"/>
      <c r="CZ96" s="43"/>
      <c r="DA96" s="43"/>
      <c r="DB96" s="43"/>
      <c r="DC96" s="43"/>
      <c r="DD96" s="43"/>
      <c r="DE96" s="43"/>
      <c r="DF96" s="43"/>
      <c r="DG96" s="43"/>
      <c r="DH96" s="43"/>
      <c r="DI96" s="43"/>
      <c r="DJ96" s="43"/>
      <c r="DK96" s="43"/>
      <c r="DL96" s="79"/>
      <c r="DM96" s="78"/>
      <c r="DN96" s="78"/>
      <c r="DO96" s="78"/>
      <c r="DP96" s="78"/>
      <c r="DQ96" s="78"/>
      <c r="DR96" s="78"/>
      <c r="DS96" s="78"/>
      <c r="DT96" s="78"/>
      <c r="DU96" s="78"/>
      <c r="DV96" s="78"/>
      <c r="DW96" s="78"/>
      <c r="DX96" s="78"/>
      <c r="DY96" s="78"/>
      <c r="DZ96" s="78"/>
      <c r="EA96" s="78"/>
      <c r="EB96" s="78"/>
    </row>
    <row r="97" spans="1:13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79"/>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43"/>
      <c r="CY97" s="43"/>
      <c r="CZ97" s="43"/>
      <c r="DA97" s="43"/>
      <c r="DB97" s="43"/>
      <c r="DC97" s="43"/>
      <c r="DD97" s="43"/>
      <c r="DE97" s="43"/>
      <c r="DF97" s="43"/>
      <c r="DG97" s="43"/>
      <c r="DH97" s="43"/>
      <c r="DI97" s="43"/>
      <c r="DJ97" s="43"/>
      <c r="DK97" s="43"/>
      <c r="DL97" s="79"/>
      <c r="DM97" s="78"/>
      <c r="DN97" s="78"/>
      <c r="DO97" s="78"/>
      <c r="DP97" s="78"/>
      <c r="DQ97" s="78"/>
      <c r="DR97" s="78"/>
      <c r="DS97" s="78"/>
      <c r="DT97" s="78"/>
      <c r="DU97" s="78"/>
      <c r="DV97" s="78"/>
      <c r="DW97" s="78"/>
      <c r="DX97" s="78"/>
      <c r="DY97" s="78"/>
      <c r="DZ97" s="78"/>
      <c r="EA97" s="78"/>
      <c r="EB97" s="78"/>
    </row>
    <row r="98" spans="1:132">
      <c r="DX98" s="575"/>
      <c r="DY98" s="575"/>
      <c r="DZ98" s="575"/>
      <c r="EA98" s="575"/>
      <c r="EB98" s="575"/>
    </row>
    <row r="99" spans="1:132">
      <c r="DX99" s="575"/>
      <c r="DY99" s="575"/>
      <c r="DZ99" s="575"/>
      <c r="EA99" s="575"/>
      <c r="EB99" s="575"/>
    </row>
    <row r="100" spans="1:132">
      <c r="DX100" s="575"/>
      <c r="DY100" s="575"/>
      <c r="DZ100" s="575"/>
      <c r="EA100" s="575"/>
      <c r="EB100" s="575"/>
    </row>
    <row r="101" spans="1:132">
      <c r="DX101" s="575"/>
      <c r="DY101" s="575"/>
      <c r="DZ101" s="575"/>
      <c r="EA101" s="575"/>
      <c r="EB101" s="575"/>
    </row>
    <row r="102" spans="1:132">
      <c r="DX102" s="575"/>
      <c r="DY102" s="575"/>
      <c r="DZ102" s="575"/>
      <c r="EA102" s="575"/>
      <c r="EB102" s="575"/>
    </row>
    <row r="103" spans="1:132">
      <c r="DX103" s="575"/>
      <c r="DY103" s="575"/>
      <c r="DZ103" s="575"/>
      <c r="EA103" s="575"/>
      <c r="EB103" s="575"/>
    </row>
    <row r="104" spans="1:132">
      <c r="DX104" s="575"/>
      <c r="DY104" s="575"/>
      <c r="DZ104" s="575"/>
      <c r="EA104" s="575"/>
      <c r="EB104" s="575"/>
    </row>
    <row r="105" spans="1:132">
      <c r="DX105" s="575"/>
      <c r="DY105" s="575"/>
      <c r="DZ105" s="575"/>
      <c r="EA105" s="575"/>
      <c r="EB105" s="575"/>
    </row>
    <row r="106" spans="1:132">
      <c r="DX106" s="575"/>
      <c r="DY106" s="575"/>
      <c r="DZ106" s="575"/>
      <c r="EA106" s="575"/>
      <c r="EB106" s="575"/>
    </row>
    <row r="107" spans="1:132">
      <c r="DX107" s="575"/>
      <c r="DY107" s="575"/>
      <c r="DZ107" s="575"/>
      <c r="EA107" s="575"/>
      <c r="EB107" s="575"/>
    </row>
    <row r="108" spans="1:132">
      <c r="DX108" s="575"/>
      <c r="DY108" s="575"/>
      <c r="DZ108" s="575"/>
      <c r="EA108" s="575"/>
      <c r="EB108" s="575"/>
    </row>
    <row r="109" spans="1:132">
      <c r="DX109" s="575"/>
      <c r="DY109" s="575"/>
      <c r="DZ109" s="575"/>
      <c r="EA109" s="575"/>
      <c r="EB109" s="575"/>
    </row>
    <row r="110" spans="1:132">
      <c r="DX110" s="575"/>
      <c r="DY110" s="575"/>
      <c r="DZ110" s="575"/>
      <c r="EA110" s="575"/>
      <c r="EB110" s="575"/>
    </row>
    <row r="111" spans="1:132">
      <c r="DX111" s="575"/>
      <c r="DY111" s="575"/>
      <c r="DZ111" s="575"/>
      <c r="EA111" s="575"/>
      <c r="EB111" s="575"/>
    </row>
    <row r="112" spans="1:132">
      <c r="DX112" s="575"/>
      <c r="DY112" s="575"/>
      <c r="DZ112" s="575"/>
      <c r="EA112" s="575"/>
      <c r="EB112" s="575"/>
    </row>
    <row r="113" spans="128:132">
      <c r="DX113" s="575"/>
      <c r="DY113" s="575"/>
      <c r="DZ113" s="575"/>
      <c r="EA113" s="575"/>
      <c r="EB113" s="575"/>
    </row>
    <row r="114" spans="128:132">
      <c r="DX114" s="575"/>
      <c r="DY114" s="575"/>
      <c r="DZ114" s="575"/>
      <c r="EA114" s="575"/>
      <c r="EB114" s="575"/>
    </row>
    <row r="115" spans="128:132">
      <c r="DX115" s="575"/>
      <c r="DY115" s="575"/>
      <c r="DZ115" s="575"/>
      <c r="EA115" s="575"/>
      <c r="EB115" s="575"/>
    </row>
    <row r="116" spans="128:132">
      <c r="DX116" s="575"/>
      <c r="DY116" s="575"/>
      <c r="DZ116" s="575"/>
      <c r="EA116" s="575"/>
      <c r="EB116" s="575"/>
    </row>
    <row r="117" spans="128:132">
      <c r="DX117" s="575"/>
      <c r="DY117" s="575"/>
      <c r="DZ117" s="575"/>
      <c r="EA117" s="575"/>
      <c r="EB117" s="575"/>
    </row>
    <row r="118" spans="128:132">
      <c r="DX118" s="575"/>
      <c r="DY118" s="575"/>
      <c r="DZ118" s="575"/>
      <c r="EA118" s="575"/>
      <c r="EB118" s="575"/>
    </row>
    <row r="119" spans="128:132">
      <c r="DX119" s="575"/>
      <c r="DY119" s="575"/>
      <c r="DZ119" s="575"/>
      <c r="EA119" s="575"/>
      <c r="EB119" s="575"/>
    </row>
    <row r="120" spans="128:132">
      <c r="DX120" s="575"/>
      <c r="DY120" s="575"/>
      <c r="DZ120" s="575"/>
      <c r="EA120" s="575"/>
      <c r="EB120" s="575"/>
    </row>
    <row r="121" spans="128:132">
      <c r="DX121" s="575"/>
      <c r="DY121" s="575"/>
      <c r="DZ121" s="575"/>
      <c r="EA121" s="575"/>
      <c r="EB121" s="575"/>
    </row>
  </sheetData>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6D65-162E-4DC5-8A6E-7CEF87943FE8}">
  <sheetPr>
    <tabColor rgb="FF00B050"/>
  </sheetPr>
  <dimension ref="B2:S32"/>
  <sheetViews>
    <sheetView topLeftCell="B1" workbookViewId="0">
      <selection activeCell="M17" sqref="M17"/>
    </sheetView>
  </sheetViews>
  <sheetFormatPr defaultColWidth="9.140625" defaultRowHeight="15"/>
  <cols>
    <col min="2" max="2" width="41.140625" customWidth="1"/>
    <col min="9" max="9" width="17" customWidth="1"/>
    <col min="12" max="12" width="18.28515625" bestFit="1" customWidth="1"/>
    <col min="13" max="17" width="16.42578125" bestFit="1" customWidth="1"/>
    <col min="18" max="18" width="14" bestFit="1" customWidth="1"/>
    <col min="19" max="19" width="14.140625" bestFit="1" customWidth="1"/>
    <col min="20" max="20" width="15" bestFit="1" customWidth="1"/>
    <col min="21" max="21" width="7.140625" customWidth="1"/>
  </cols>
  <sheetData>
    <row r="2" spans="2:19">
      <c r="B2" t="s">
        <v>495</v>
      </c>
      <c r="C2" s="582">
        <v>44196</v>
      </c>
      <c r="D2" s="582">
        <f>+C2+365</f>
        <v>44561</v>
      </c>
      <c r="E2" s="582">
        <f>+D2+365</f>
        <v>44926</v>
      </c>
      <c r="F2" s="582">
        <v>45283</v>
      </c>
      <c r="G2" s="582">
        <f>+F2+365</f>
        <v>45648</v>
      </c>
      <c r="H2" s="582"/>
      <c r="M2" s="583"/>
      <c r="N2" s="583"/>
    </row>
    <row r="3" spans="2:19">
      <c r="B3" s="20" t="s">
        <v>496</v>
      </c>
      <c r="F3" s="20"/>
      <c r="G3" s="20"/>
      <c r="H3" s="20"/>
      <c r="I3" s="20" t="s">
        <v>497</v>
      </c>
      <c r="M3" s="584">
        <v>2019</v>
      </c>
      <c r="N3" s="584">
        <f>+M3+1</f>
        <v>2020</v>
      </c>
      <c r="O3" s="584">
        <f>+N3+1</f>
        <v>2021</v>
      </c>
      <c r="P3" s="584">
        <f>+O3+1</f>
        <v>2022</v>
      </c>
      <c r="Q3" s="584">
        <f>+P3+1</f>
        <v>2023</v>
      </c>
      <c r="R3" s="584">
        <f>+Q3+1</f>
        <v>2024</v>
      </c>
    </row>
    <row r="4" spans="2:19">
      <c r="B4" t="s">
        <v>498</v>
      </c>
      <c r="C4" s="585">
        <f>+N8</f>
        <v>0</v>
      </c>
      <c r="D4" s="585">
        <f t="shared" ref="D4:G4" si="0">+O8</f>
        <v>0</v>
      </c>
      <c r="E4" s="585">
        <f t="shared" si="0"/>
        <v>303.51626030669439</v>
      </c>
      <c r="F4" s="585">
        <f t="shared" si="0"/>
        <v>249.90639959538802</v>
      </c>
      <c r="G4" s="585">
        <f t="shared" si="0"/>
        <v>213.37474851594348</v>
      </c>
      <c r="L4" s="20" t="s">
        <v>50</v>
      </c>
      <c r="M4" s="586">
        <f>+Resumo!F3*1000/macro!DG9</f>
        <v>2260076.0835319366</v>
      </c>
      <c r="N4" s="586">
        <f>+Resumo!G3*1000/macro!DH9</f>
        <v>2173890.1246902649</v>
      </c>
      <c r="O4" s="586">
        <f>+Resumo!H3*1000/macro!DI9</f>
        <v>2311696.2497697189</v>
      </c>
      <c r="P4" s="586">
        <f>+Resumo!I3*1000/macro!DJ9</f>
        <v>2538918.3407219369</v>
      </c>
      <c r="Q4" s="586">
        <f>+Resumo!J3*1000/macro!DK9</f>
        <v>3005365.213599999</v>
      </c>
      <c r="R4" s="586">
        <f>+Resumo!K3*1000/macro!DL9</f>
        <v>2991323.9708039206</v>
      </c>
      <c r="S4" t="s">
        <v>499</v>
      </c>
    </row>
    <row r="5" spans="2:19">
      <c r="B5" t="s">
        <v>500</v>
      </c>
      <c r="C5" s="587">
        <f>+N12</f>
        <v>0</v>
      </c>
      <c r="D5" s="587">
        <f t="shared" ref="D5:G5" si="1">+O12</f>
        <v>0</v>
      </c>
      <c r="E5" s="587">
        <f t="shared" si="1"/>
        <v>1052.5226587232992</v>
      </c>
      <c r="F5" s="587">
        <f t="shared" si="1"/>
        <v>930.21519997738528</v>
      </c>
      <c r="G5" s="587">
        <f t="shared" si="1"/>
        <v>978.99036392001688</v>
      </c>
      <c r="M5" s="588"/>
      <c r="N5" s="588"/>
    </row>
    <row r="6" spans="2:19">
      <c r="B6" t="s">
        <v>501</v>
      </c>
      <c r="C6" s="589" t="s">
        <v>502</v>
      </c>
      <c r="D6" s="589" t="s">
        <v>502</v>
      </c>
      <c r="E6" s="589" t="s">
        <v>502</v>
      </c>
      <c r="F6" s="589" t="s">
        <v>502</v>
      </c>
      <c r="G6" s="589" t="s">
        <v>502</v>
      </c>
      <c r="M6" s="590"/>
      <c r="N6" s="590"/>
      <c r="O6" s="590"/>
      <c r="P6" s="590"/>
      <c r="Q6" s="590"/>
      <c r="R6" s="590"/>
    </row>
    <row r="7" spans="2:19">
      <c r="L7" s="591" t="s">
        <v>503</v>
      </c>
      <c r="M7" s="590"/>
      <c r="N7" s="590"/>
      <c r="O7" s="590"/>
      <c r="P7" s="590">
        <v>770603</v>
      </c>
      <c r="Q7" s="590">
        <v>751060</v>
      </c>
      <c r="R7" s="590">
        <v>638273</v>
      </c>
      <c r="S7" t="s">
        <v>504</v>
      </c>
    </row>
    <row r="8" spans="2:19">
      <c r="B8" t="s">
        <v>495</v>
      </c>
      <c r="C8" s="582">
        <v>44196</v>
      </c>
      <c r="D8" s="582">
        <f>+C8+365</f>
        <v>44561</v>
      </c>
      <c r="E8" s="582">
        <f>+D8+365</f>
        <v>44926</v>
      </c>
      <c r="F8" s="582">
        <f>+E8+365</f>
        <v>45291</v>
      </c>
      <c r="G8" s="582">
        <f>+F8+365</f>
        <v>45656</v>
      </c>
      <c r="L8" s="591" t="s">
        <v>505</v>
      </c>
      <c r="M8" s="588">
        <f t="shared" ref="M8:R8" si="2">+M7*1000/M4</f>
        <v>0</v>
      </c>
      <c r="N8" s="588">
        <f t="shared" si="2"/>
        <v>0</v>
      </c>
      <c r="O8" s="588">
        <f t="shared" si="2"/>
        <v>0</v>
      </c>
      <c r="P8" s="588">
        <f t="shared" si="2"/>
        <v>303.51626030669439</v>
      </c>
      <c r="Q8" s="588">
        <f t="shared" si="2"/>
        <v>249.90639959538802</v>
      </c>
      <c r="R8" s="588">
        <f t="shared" si="2"/>
        <v>213.37474851594348</v>
      </c>
      <c r="S8" t="s">
        <v>506</v>
      </c>
    </row>
    <row r="9" spans="2:19">
      <c r="B9" s="20" t="s">
        <v>507</v>
      </c>
      <c r="C9" s="99"/>
      <c r="D9" s="99"/>
      <c r="E9" s="99"/>
    </row>
    <row r="10" spans="2:19">
      <c r="B10" t="s">
        <v>508</v>
      </c>
      <c r="C10" s="592"/>
      <c r="D10" s="592"/>
      <c r="E10" s="592"/>
      <c r="F10" s="592" t="s">
        <v>509</v>
      </c>
      <c r="G10" s="606">
        <v>0.3069028711056811</v>
      </c>
      <c r="L10" s="591" t="s">
        <v>510</v>
      </c>
      <c r="M10" s="590"/>
      <c r="N10" s="590"/>
      <c r="O10" s="590"/>
      <c r="P10" s="590">
        <v>9620161</v>
      </c>
      <c r="Q10" s="590">
        <v>10064283</v>
      </c>
      <c r="R10" s="590">
        <v>10542510</v>
      </c>
      <c r="S10" s="593" t="s">
        <v>511</v>
      </c>
    </row>
    <row r="11" spans="2:19">
      <c r="B11" t="s">
        <v>512</v>
      </c>
      <c r="C11" s="594"/>
      <c r="D11" s="594"/>
      <c r="E11" s="594"/>
      <c r="F11" s="589" t="s">
        <v>513</v>
      </c>
      <c r="G11" s="589" t="s">
        <v>513</v>
      </c>
      <c r="L11" s="591" t="s">
        <v>514</v>
      </c>
      <c r="M11" s="595">
        <f>+M10/R4</f>
        <v>0</v>
      </c>
      <c r="N11" s="595">
        <f>+N10*$M$17</f>
        <v>0</v>
      </c>
      <c r="O11" s="595">
        <f>+O10*$M$17</f>
        <v>0</v>
      </c>
      <c r="P11" s="595">
        <f>+P10*$M$17</f>
        <v>2672269082.2580004</v>
      </c>
      <c r="Q11" s="595">
        <f>+Q10*$M$17</f>
        <v>2795636403.1740003</v>
      </c>
      <c r="R11" s="595">
        <f>+R10*$M$17</f>
        <v>2928477342.7800002</v>
      </c>
      <c r="S11" s="593" t="s">
        <v>515</v>
      </c>
    </row>
    <row r="12" spans="2:19">
      <c r="B12" t="s">
        <v>516</v>
      </c>
      <c r="C12" s="596"/>
      <c r="D12" s="596"/>
      <c r="E12" s="596"/>
      <c r="F12" s="596"/>
      <c r="G12" s="596">
        <v>0.14257788637751986</v>
      </c>
      <c r="L12" s="591" t="s">
        <v>517</v>
      </c>
      <c r="N12" s="588">
        <f>+N11/N4</f>
        <v>0</v>
      </c>
      <c r="O12" s="588">
        <f t="shared" ref="O12:R12" si="3">+O11/O4</f>
        <v>0</v>
      </c>
      <c r="P12" s="588">
        <f t="shared" si="3"/>
        <v>1052.5226587232992</v>
      </c>
      <c r="Q12" s="588">
        <f t="shared" si="3"/>
        <v>930.21519997738528</v>
      </c>
      <c r="R12" s="588">
        <f t="shared" si="3"/>
        <v>978.99036392001688</v>
      </c>
      <c r="S12" t="s">
        <v>518</v>
      </c>
    </row>
    <row r="13" spans="2:19">
      <c r="B13" s="593" t="s">
        <v>519</v>
      </c>
      <c r="C13" s="589"/>
      <c r="D13" s="589"/>
      <c r="E13" s="589"/>
      <c r="F13" s="597"/>
      <c r="G13" s="597">
        <f>+R26</f>
        <v>6.59</v>
      </c>
      <c r="M13" s="593"/>
      <c r="N13" s="593"/>
    </row>
    <row r="14" spans="2:19">
      <c r="L14" s="591" t="s">
        <v>520</v>
      </c>
      <c r="R14" s="598">
        <v>0.72</v>
      </c>
    </row>
    <row r="15" spans="2:19">
      <c r="B15" t="s">
        <v>495</v>
      </c>
      <c r="C15" s="582">
        <v>44196</v>
      </c>
      <c r="D15" s="582">
        <f>+C15+365</f>
        <v>44561</v>
      </c>
      <c r="E15" s="582">
        <f>+D15+365</f>
        <v>44926</v>
      </c>
      <c r="F15" s="582">
        <f>+E15+365</f>
        <v>45291</v>
      </c>
      <c r="G15" s="582">
        <f>+F15+365</f>
        <v>45656</v>
      </c>
      <c r="L15" s="599" t="s">
        <v>521</v>
      </c>
      <c r="N15" s="593"/>
    </row>
    <row r="16" spans="2:19">
      <c r="B16" s="20" t="s">
        <v>522</v>
      </c>
      <c r="C16" s="99"/>
      <c r="D16" s="99"/>
      <c r="E16" s="99"/>
    </row>
    <row r="17" spans="2:18">
      <c r="B17" t="s">
        <v>523</v>
      </c>
      <c r="C17" s="589"/>
      <c r="D17" s="589"/>
      <c r="E17" s="589"/>
      <c r="F17" s="589"/>
      <c r="G17" s="589">
        <v>12</v>
      </c>
      <c r="L17" s="599" t="s">
        <v>524</v>
      </c>
      <c r="M17" s="607">
        <v>277.77800000000002</v>
      </c>
      <c r="N17" s="593" t="s">
        <v>525</v>
      </c>
    </row>
    <row r="18" spans="2:18">
      <c r="B18" t="s">
        <v>526</v>
      </c>
      <c r="C18" s="600"/>
      <c r="D18" s="600"/>
      <c r="E18" s="600"/>
      <c r="F18" s="600"/>
      <c r="G18" s="600">
        <f>1/G17</f>
        <v>8.3333333333333329E-2</v>
      </c>
    </row>
    <row r="19" spans="2:18">
      <c r="B19" t="s">
        <v>527</v>
      </c>
      <c r="C19" s="601"/>
      <c r="D19" s="601"/>
      <c r="E19" s="601"/>
      <c r="F19" s="601"/>
      <c r="G19" s="601">
        <f>8/G17</f>
        <v>0.66666666666666663</v>
      </c>
    </row>
    <row r="20" spans="2:18">
      <c r="B20" t="s">
        <v>528</v>
      </c>
      <c r="C20" s="589"/>
      <c r="D20" s="589"/>
      <c r="E20" s="589"/>
      <c r="F20" s="594"/>
      <c r="G20" s="589" t="s">
        <v>532</v>
      </c>
    </row>
    <row r="21" spans="2:18">
      <c r="B21" t="s">
        <v>530</v>
      </c>
      <c r="C21" s="589"/>
      <c r="D21" s="589"/>
      <c r="E21" s="589"/>
      <c r="F21" s="594"/>
      <c r="G21" s="589" t="s">
        <v>532</v>
      </c>
      <c r="L21" s="20" t="s">
        <v>543</v>
      </c>
    </row>
    <row r="22" spans="2:18">
      <c r="B22" t="s">
        <v>531</v>
      </c>
      <c r="C22" s="594"/>
      <c r="D22" s="594"/>
      <c r="E22" s="594"/>
      <c r="F22" s="594"/>
      <c r="G22" s="589" t="s">
        <v>529</v>
      </c>
      <c r="L22" t="s">
        <v>533</v>
      </c>
      <c r="Q22" s="604"/>
      <c r="R22" s="604"/>
    </row>
    <row r="23" spans="2:18">
      <c r="B23" s="89" t="s">
        <v>534</v>
      </c>
      <c r="C23" s="589"/>
      <c r="D23" s="589"/>
      <c r="E23" s="589"/>
      <c r="F23" s="594"/>
      <c r="G23" s="589" t="s">
        <v>529</v>
      </c>
      <c r="L23" t="s">
        <v>535</v>
      </c>
      <c r="Q23" s="604"/>
      <c r="R23" s="604"/>
    </row>
    <row r="24" spans="2:18">
      <c r="B24" t="s">
        <v>536</v>
      </c>
      <c r="C24" s="589"/>
      <c r="D24" s="589"/>
      <c r="E24" s="589"/>
      <c r="F24" s="594"/>
      <c r="G24" s="589" t="s">
        <v>529</v>
      </c>
      <c r="L24" t="s">
        <v>537</v>
      </c>
      <c r="Q24" s="605">
        <f>+Q23*Q22*52</f>
        <v>0</v>
      </c>
      <c r="R24" s="605">
        <f>+R23*R22*52</f>
        <v>0</v>
      </c>
    </row>
    <row r="25" spans="2:18">
      <c r="Q25" s="605"/>
      <c r="R25" s="605"/>
    </row>
    <row r="26" spans="2:18">
      <c r="C26" s="602"/>
      <c r="D26" s="602"/>
      <c r="E26" s="602"/>
      <c r="L26" t="s">
        <v>538</v>
      </c>
      <c r="Q26" s="604"/>
      <c r="R26" s="604">
        <v>6.59</v>
      </c>
    </row>
    <row r="27" spans="2:18">
      <c r="Q27" s="605" t="e">
        <f>+Q26*1000000/Q24</f>
        <v>#DIV/0!</v>
      </c>
      <c r="R27" s="605" t="e">
        <f>+R26*1000000/R24</f>
        <v>#DIV/0!</v>
      </c>
    </row>
    <row r="28" spans="2:18">
      <c r="B28" t="s">
        <v>539</v>
      </c>
      <c r="C28" s="100"/>
      <c r="D28" s="100"/>
      <c r="E28" s="100"/>
    </row>
    <row r="29" spans="2:18">
      <c r="B29" t="s">
        <v>540</v>
      </c>
    </row>
    <row r="31" spans="2:18">
      <c r="B31" t="s">
        <v>541</v>
      </c>
    </row>
    <row r="32" spans="2:18">
      <c r="B32" s="603" t="s">
        <v>542</v>
      </c>
    </row>
  </sheetData>
  <hyperlinks>
    <hyperlink ref="B32" r:id="rId1" xr:uid="{81CF435E-C859-4C8E-B9C9-8E1448CB13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Resumo</vt:lpstr>
      <vt:lpstr>PROJ</vt:lpstr>
      <vt:lpstr>FAT</vt:lpstr>
      <vt:lpstr>Graficos</vt:lpstr>
      <vt:lpstr>Raw Materials (2)</vt:lpstr>
      <vt:lpstr>Previews</vt:lpstr>
      <vt:lpstr>Comps</vt:lpstr>
      <vt:lpstr>Notes</vt:lpstr>
      <vt:lpstr>IPCN</vt:lpstr>
      <vt:lpstr>macro</vt:lpstr>
      <vt:lpstr>ESG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Mauro</dc:creator>
  <cp:keywords/>
  <dc:description/>
  <cp:lastModifiedBy>Camila Rivilli</cp:lastModifiedBy>
  <cp:revision/>
  <dcterms:created xsi:type="dcterms:W3CDTF">2017-09-14T20:02:09Z</dcterms:created>
  <dcterms:modified xsi:type="dcterms:W3CDTF">2026-03-09T16:06:47Z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eyIwIjoiSGlzdG9yeSIsIjEiOjAsIjIiOjEsIjMiOjEsIjQiOjEsIjUiOjEsIjYiOjEsIjciOjEsIjgiOjAsIjkiOjEsIjEwIjoxLCIxMSI6MCwiMTIiOjB9</vt:lpwstr>
  </property>
</Properties>
</file>